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16.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7.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8.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drawings/drawing9.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drawings/drawing10.xml" ContentType="application/vnd.openxmlformats-officedocument.drawing+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drawings/drawing11.xml" ContentType="application/vnd.openxmlformats-officedocument.drawing+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drawings/drawing12.xml" ContentType="application/vnd.openxmlformats-officedocument.drawing+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13.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14.xml" ContentType="application/vnd.openxmlformats-officedocument.drawing+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15.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drawings/drawing16.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omments3.xml" ContentType="application/vnd.openxmlformats-officedocument.spreadsheetml.comments+xml"/>
  <Override PartName="/xl/drawings/drawing17.xml" ContentType="application/vnd.openxmlformats-officedocument.drawing+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drawings/drawing18.xml" ContentType="application/vnd.openxmlformats-officedocument.drawing+xml"/>
  <Override PartName="/xl/ctrlProps/ctrlProp140.xml" ContentType="application/vnd.ms-excel.controlpropertie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28"/>
  <workbookPr codeName="ThisWorkbook" autoCompressPictures="0"/>
  <mc:AlternateContent xmlns:mc="http://schemas.openxmlformats.org/markup-compatibility/2006">
    <mc:Choice Requires="x15">
      <x15ac:absPath xmlns:x15ac="http://schemas.microsoft.com/office/spreadsheetml/2010/11/ac" url="/Users/sales/Desktop/Listes Prix clients Site WEB 08Avril2026 Shipping +10%/"/>
    </mc:Choice>
  </mc:AlternateContent>
  <xr:revisionPtr revIDLastSave="0" documentId="13_ncr:8001_{863B8B10-69A4-9F4C-86F8-2DDD87A5A736}" xr6:coauthVersionLast="47" xr6:coauthVersionMax="47" xr10:uidLastSave="{00000000-0000-0000-0000-000000000000}"/>
  <workbookProtection workbookAlgorithmName="SHA-512" workbookHashValue="5jCZ8ecnUxKeRLQo1i5rvD6MIGQIkDTiafPfdl3E/ROeXXrwivt/WEyjmx36olnhFKkzHuFwsSVY4nWVnUbe4g==" workbookSaltValue="5pz4v/TAVMdfdFarme/PPw==" workbookSpinCount="100000" lockStructure="1"/>
  <bookViews>
    <workbookView xWindow="16200" yWindow="1220" windowWidth="25560" windowHeight="23180" tabRatio="968" xr2:uid="{7C31FD8E-C326-49BB-8A4C-CC2E0E97928F}"/>
  </bookViews>
  <sheets>
    <sheet name="Home" sheetId="28" r:id="rId1"/>
    <sheet name="Quote" sheetId="26" r:id="rId2"/>
    <sheet name="Inv" sheetId="33" state="veryHidden" r:id="rId3"/>
    <sheet name="CInv" sheetId="41" state="veryHidden" r:id="rId4"/>
    <sheet name="PList" sheetId="34" state="veryHidden" r:id="rId5"/>
    <sheet name="EtiqShip" sheetId="36" state="veryHidden" r:id="rId6"/>
    <sheet name="Prod" sheetId="35" state="veryHidden" r:id="rId7"/>
    <sheet name="Calc" sheetId="2" state="veryHidden" r:id="rId8"/>
    <sheet name="WinRHIZO" sheetId="5" r:id="rId9"/>
    <sheet name="WinRHIZOTron" sheetId="19" r:id="rId10"/>
    <sheet name="WinSEEDLE" sheetId="21" r:id="rId11"/>
    <sheet name="WinFOLIA" sheetId="20" r:id="rId12"/>
    <sheet name="WinCAM" sheetId="22" r:id="rId13"/>
    <sheet name="WinDENDRO" sheetId="1" r:id="rId14"/>
    <sheet name="WinCELL" sheetId="18" r:id="rId15"/>
    <sheet name="WinSCANOPY" sheetId="23" r:id="rId16"/>
    <sheet name="Vars" sheetId="14" state="veryHidden" r:id="rId17"/>
    <sheet name="QCalc" sheetId="27" state="veryHidden" r:id="rId18"/>
    <sheet name="Static $" sheetId="37" r:id="rId19"/>
    <sheet name="Ship$" sheetId="43" state="veryHidden" r:id="rId20"/>
    <sheet name="QuoteExport" sheetId="29" state="veryHidden" r:id="rId21"/>
  </sheets>
  <definedNames>
    <definedName name="_xlnm._FilterDatabase" localSheetId="0" hidden="1">Home!$A$6:$R$38</definedName>
    <definedName name="_xlnm._FilterDatabase" localSheetId="18" hidden="1">'Static $'!$A$1:$C$144</definedName>
    <definedName name="AccountNumber">Vars!$C$136</definedName>
    <definedName name="BoxSizeAndWeight">Vars!$K$66:$L$85</definedName>
    <definedName name="CAM_Access1">Prod!$C$426</definedName>
    <definedName name="CAM_Access2">Prod!$C$427</definedName>
    <definedName name="CAM_ChkB_RemoteUpdate">Vars!$I$60</definedName>
    <definedName name="CAM_ChkBox_UpgradeUpdate">Vars!$I$29</definedName>
    <definedName name="CAM_ClientWithOrWithoutScanner">Vars!$I$31</definedName>
    <definedName name="CAM_ClientWithOrWithoutScanner_ChkBox">Vars!$I$32</definedName>
    <definedName name="CAM_IndexClientVersion">Vars!$I$25</definedName>
    <definedName name="CAM_IndexModelClient">Vars!$I$65</definedName>
    <definedName name="CAM_IndexModelSoftware">Vars!$I$64</definedName>
    <definedName name="CAM_IndexScanner">Vars!$I$4</definedName>
    <definedName name="CAM_IndexSoftware">Vars!$I$5</definedName>
    <definedName name="CAM_ManuelM1">Prod!$C$362</definedName>
    <definedName name="CAM_N_AlreadyHaveSoftware">Vars!$I$37</definedName>
    <definedName name="CAM_N_Software">Vars!$I$34</definedName>
    <definedName name="CAM_N_SoftwareOrUpg">Vars!$I$30</definedName>
    <definedName name="CAM_N_System">Vars!$I$36</definedName>
    <definedName name="CAM_N_UpgradeUpdate">Vars!$I$35</definedName>
    <definedName name="CAM_Option1">Vars!$I$13</definedName>
    <definedName name="CAM_Option2">Vars!$I$14</definedName>
    <definedName name="CAM_Option3">Vars!$I$15</definedName>
    <definedName name="CAM_Option4">Vars!$I$16</definedName>
    <definedName name="CAM_OptionTPU">Vars!$I$7</definedName>
    <definedName name="CAM_PosiOrBlueBG_Checkbox">Vars!$I$33</definedName>
    <definedName name="CAM_Serial">Prod!$E$361&amp;IF(LEN(Prod!$E$365)&gt;0,", " &amp; Prod!$E$365,"")</definedName>
    <definedName name="CAM_SerialTPU">Prod!$J$361&amp;IF(LEN(Prod!$J$365)&gt;0,", " &amp; Prod!$J$365,"")</definedName>
    <definedName name="CAM_SoftwareFullNames">Vars!$I$38:$I$40</definedName>
    <definedName name="CAM_SoftwareList">Vars!$I$51:$I$53</definedName>
    <definedName name="CAM_SoftwarePriceList">Calc!$A$55:$A$57</definedName>
    <definedName name="CAM_UpgradeNameShort">Vars!$I$56:$I$59</definedName>
    <definedName name="CAM_UpgradeNModels">Vars!$I$28</definedName>
    <definedName name="CAM_YearClient">WinCAM!$D$5</definedName>
    <definedName name="CAM_YearMostRecent">Vars!$I$27</definedName>
    <definedName name="CELL_ChkB_RemoteUpdate">Vars!$D$60</definedName>
    <definedName name="CELL_ChkBox_UpgradeUpdate">Vars!$D$29</definedName>
    <definedName name="CELL_ClientWithOrWithoutScanner">Vars!$D$31</definedName>
    <definedName name="CELL_IndexClientVersion">Vars!$D$25</definedName>
    <definedName name="CELL_IndexModelClient">Vars!$D$65</definedName>
    <definedName name="CELL_IndexModelSoftware">Vars!$D$64</definedName>
    <definedName name="CELL_IndexSoftware">Vars!$D$5</definedName>
    <definedName name="CELL_N_AlreadyHaveSoftware">Vars!$D$37</definedName>
    <definedName name="CELL_N_Software">Vars!$D$34</definedName>
    <definedName name="CELL_N_SoftwareOrUpg">Vars!$D$30</definedName>
    <definedName name="CELL_N_System">Vars!$D$36</definedName>
    <definedName name="CELL_N_UpgradeUpdate">Vars!$D$35</definedName>
    <definedName name="CELL_OptionXL">Vars!$D$6</definedName>
    <definedName name="CELL_SoftwareFullNames">Vars!$D$38:$D$40</definedName>
    <definedName name="CELL_SoftwareList">Vars!$D$51:$D$53</definedName>
    <definedName name="CELL_SoftwarePriceList">Calc!$A$39:$A$41</definedName>
    <definedName name="CELL_UpgradeNameShort">Vars!$D$56:$D$59</definedName>
    <definedName name="CELL_UpgradeNModels">Vars!$D$28</definedName>
    <definedName name="CELL_YearClient">WinCELL!$D$5</definedName>
    <definedName name="CELL_YearMostRecent">Vars!$D$27</definedName>
    <definedName name="Checkbox_Descriptions">Vars!$C$120</definedName>
    <definedName name="Checkbox_DistChine">Vars!$C$159</definedName>
    <definedName name="Checkbox_EtiqShip1">Vars!$C$130</definedName>
    <definedName name="Checkbox_EtiqShip2">Vars!$C$131</definedName>
    <definedName name="Checkbox_EtiqShip3">Vars!$C$132</definedName>
    <definedName name="Checkbox_EtiqShip4">Vars!$C$133</definedName>
    <definedName name="Checkbox_EtiqShip5">Vars!$C$134</definedName>
    <definedName name="Checkbox_EtiqShip6">Vars!$C$135</definedName>
    <definedName name="Checkbox_Instructions">Vars!$C$119</definedName>
    <definedName name="Checkbox_SameAsBillTo">Vars!$C$124</definedName>
    <definedName name="Checkbox_SansScanner">Vars!$C$103</definedName>
    <definedName name="Checkbox_ScannerOption">Vars!$C$158</definedName>
    <definedName name="Checkbox_Tariffs2">Vars!$C$161</definedName>
    <definedName name="Checkbox_Updates">Vars!$C$121</definedName>
    <definedName name="Checkbox_WithScan">Vars!$C$104</definedName>
    <definedName name="ClientAExp12000">Prod!$C$433</definedName>
    <definedName name="CteUpdate">Vars!$C$203</definedName>
    <definedName name="Currency">Vars!$C$123</definedName>
    <definedName name="CustomerNumber">Home!$B$6</definedName>
    <definedName name="DatePick_ChosenMonth">OFFSET(Vars!$G$90,0,DatePick_Month-1,COUNTA(OFFSET(Vars!$G$90:$G$120,0,DatePick_Month-1)))</definedName>
    <definedName name="DatePick_Day">Vars!$V$90</definedName>
    <definedName name="DatePick_Month">Vars!$W$90</definedName>
    <definedName name="DatePick_MonthNames">Vars!$T$90:$T$101</definedName>
    <definedName name="DatePick_ValidUntil">Calc!#REF!</definedName>
    <definedName name="DatePick_Year">Vars!$Y$90</definedName>
    <definedName name="DatePick_YearIndex">Vars!$X$90</definedName>
    <definedName name="DatePick_YearNames">Vars!$U$90:$U$120</definedName>
    <definedName name="DENDRO_Access1">Prod!$C$402</definedName>
    <definedName name="DENDRO_Access2">Prod!$C$404</definedName>
    <definedName name="DENDRO_ChkB_RemoteUpdate">Vars!$C$60</definedName>
    <definedName name="DENDRO_ChkBox_UpgradeUpdate">Vars!$C$29</definedName>
    <definedName name="DENDRO_ClefSN_P1">Prod!$H$11</definedName>
    <definedName name="DENDRO_ClientWithOrWithoutScanner">Vars!$C$31</definedName>
    <definedName name="DENDRO_ClientWithOrWithoutScanner_ChkBox">Vars!$C$32</definedName>
    <definedName name="DENDRO_IndexClientVersion">Vars!$C$25</definedName>
    <definedName name="DENDRO_IndexModelClient">Vars!$C$65</definedName>
    <definedName name="DENDRO_IndexModelSoftware">Vars!$C$64</definedName>
    <definedName name="DENDRO_IndexScanner">Vars!$C$4</definedName>
    <definedName name="DENDRO_IndexSoftware">Vars!$C$5</definedName>
    <definedName name="DENDRO_ManuelM1">Prod!$C$252</definedName>
    <definedName name="DENDRO_N_AlreadyHaveSoftware">Vars!$C$37</definedName>
    <definedName name="DENDRO_N_Software">Vars!$C$34</definedName>
    <definedName name="DENDRO_N_SoftwareOrUpg">Vars!$C$30</definedName>
    <definedName name="DENDRO_N_System">Vars!$C$36</definedName>
    <definedName name="DENDRO_N_UpgradeUpdate">Vars!$C$35</definedName>
    <definedName name="DENDRO_Option1">Vars!$C$13</definedName>
    <definedName name="DENDRO_Option2">Vars!$C$14</definedName>
    <definedName name="DENDRO_Option3">Vars!$C$15</definedName>
    <definedName name="DENDRO_Option4">Vars!$C$16</definedName>
    <definedName name="DENDRO_Option5">Vars!$C$17</definedName>
    <definedName name="DENDRO_OptionTPU">Vars!$C$7</definedName>
    <definedName name="DENDRO_OptionXL">Vars!$C$6</definedName>
    <definedName name="DENDRO_Serial">Prod!$E$251&amp;IF(LEN(Prod!$E$255)&gt;0,", " &amp; Prod!$E$255,"")</definedName>
    <definedName name="DENDRO_SerialTPU">Prod!$J$251&amp;IF(LEN(Prod!$J$255)&gt;0,", " &amp; Prod!$J$255,"")</definedName>
    <definedName name="DENDRO_SoftwareFullNames">Vars!$C$38:$C$40</definedName>
    <definedName name="DENDRO_SoftwareList">Vars!$C$51:$C$53</definedName>
    <definedName name="DENDRO_SoftwarePriceList">Calc!$A$36:$A$38</definedName>
    <definedName name="DENDRO_UpgradeNameShort">Vars!$C$56:$C$59</definedName>
    <definedName name="DENDRO_UpgradeNModels">Vars!$C$28</definedName>
    <definedName name="DENDRO_VerifierPar1">Prod!$M$11</definedName>
    <definedName name="DENDRO_YearClient">WinDENDRO!$D$5</definedName>
    <definedName name="DENDRO_YearMostRecent">Vars!$C$27</definedName>
    <definedName name="Distributeurs_Rabais">Vars!$C$105</definedName>
    <definedName name="FileName_Invoice">Inv!$B$67</definedName>
    <definedName name="FileName_Quote">Quote!$B$67</definedName>
    <definedName name="FileNameClient">Calc!#REF!</definedName>
    <definedName name="FileNameDist">Calc!#REF!</definedName>
    <definedName name="FileNameMisc">Calc!#REF!</definedName>
    <definedName name="FileNames_Dist">Vars!$D$177</definedName>
    <definedName name="FileNameWithNoScanners">Vars!$C$122</definedName>
    <definedName name="FLAGS_IndexMatch">INDEX(Vars!$N$218:$N$220,MATCH(Currency,Vars!$M$218:$M$220,0))</definedName>
    <definedName name="FLAGS_IndexMatch_Split">IF(QUOTE_Split_SoftwareHardware=TRUE,INDEX(Vars!$N$218:$N$220,MATCH(Currency,Vars!$M$218:$M$220,0)),Vars!$N$222)</definedName>
    <definedName name="FOLIA_Access1">Prod!$C$416</definedName>
    <definedName name="FOLIA_Access2">Prod!$C$417</definedName>
    <definedName name="FOLIA_ChkB_RemoteUpdate">Vars!$G$60</definedName>
    <definedName name="FOLIA_ChkBox_UpgradeUpdate">Vars!$G$29</definedName>
    <definedName name="FOLIA_ClientWithOrWithoutScanner">Vars!$G$31</definedName>
    <definedName name="FOLIA_ClientWithOrWithoutScanner_ChkBox">Vars!$G$32</definedName>
    <definedName name="FOLIA_IndexClientVersion">Vars!$G$25</definedName>
    <definedName name="FOLIA_IndexModelClient">Vars!$G$65</definedName>
    <definedName name="FOLIA_IndexModelSoftware">Vars!$G$64</definedName>
    <definedName name="FOLIA_IndexScanner">Vars!$G$4</definedName>
    <definedName name="FOLIA_IndexSoftware">Vars!$G$5</definedName>
    <definedName name="FOLIA_ManuelM1">Prod!$C$307</definedName>
    <definedName name="FOLIA_N_AlreadyHaveSoftware">Vars!$G$37</definedName>
    <definedName name="FOLIA_N_Software">Vars!$G$34</definedName>
    <definedName name="FOLIA_N_SoftwareOrUpg">Vars!$G$30</definedName>
    <definedName name="FOLIA_N_System">Vars!$G$36</definedName>
    <definedName name="FOLIA_N_UpgradeUpdate">Vars!$G$35</definedName>
    <definedName name="FOLIA_Option1">Vars!$G$13</definedName>
    <definedName name="FOLIA_Option2">Vars!$G$14</definedName>
    <definedName name="FOLIA_Option3">Vars!$G$15</definedName>
    <definedName name="FOLIA_Option4">Vars!$G$16</definedName>
    <definedName name="FOLIA_OptionTPU">Vars!$G$7</definedName>
    <definedName name="FOLIA_OptionXL">Vars!$G$6</definedName>
    <definedName name="FOLIA_PosiOrBlueBG_Checkbox">Vars!$G$33</definedName>
    <definedName name="FOLIA_Serial">Prod!$E$306&amp;IF(LEN(Prod!$E$310)&gt;0,", " &amp; Prod!$E$310,"")</definedName>
    <definedName name="FOLIA_SerialTPU">Prod!$J$306&amp;IF(LEN(Prod!$J$310)&gt;0,", " &amp; Prod!$J$310,"")</definedName>
    <definedName name="FOLIA_SoftwareFullNames">Vars!$G$38:$G$40</definedName>
    <definedName name="FOLIA_SoftwareList">Vars!$G$51:$G$53</definedName>
    <definedName name="FOLIA_SoftwarePriceList">Calc!$A$49:$A$51</definedName>
    <definedName name="FOLIA_UpgradeNameShort">Vars!$G$56:$G$59</definedName>
    <definedName name="FOLIA_UpgradeNModels">Vars!$G$28</definedName>
    <definedName name="FOLIA_YearClient">WinFOLIA!$D$5</definedName>
    <definedName name="FOLIA_YearMostRecent">Vars!$G$27</definedName>
    <definedName name="Francais">Vars!$C$140</definedName>
    <definedName name="HOME_Add1">Home!$B$11</definedName>
    <definedName name="HOME_Add2">Home!$B$12</definedName>
    <definedName name="HOME_City">Home!$B$13</definedName>
    <definedName name="HOME_City_Ship">Home!$L$13</definedName>
    <definedName name="HOME_Company">Home!$B$10</definedName>
    <definedName name="HOME_Country">Home!$H$16</definedName>
    <definedName name="HOME_Country_Ship">Home!$R$16</definedName>
    <definedName name="HOME_Email">Home!$B$15</definedName>
    <definedName name="HOME_Email_Ship">Home!$L$15</definedName>
    <definedName name="HOME_FirstName">Home!$F$9</definedName>
    <definedName name="HOME_LastName">Home!$H$9</definedName>
    <definedName name="HOME_Province">Home!$H$14</definedName>
    <definedName name="HOME_Province_Ship">Home!$R$14</definedName>
    <definedName name="HOME_TaxID">Home!$B$16</definedName>
    <definedName name="HOME_Tel">Home!$B$14</definedName>
    <definedName name="HOME_Title">Home!$B$9</definedName>
    <definedName name="HOME_Zip">Home!$H$15</definedName>
    <definedName name="HOME_Zip_Ship">Home!$R$15</definedName>
    <definedName name="IndexCurrency">Vars!$C$107</definedName>
    <definedName name="IndexGenerateDist">Vars!$C$108</definedName>
    <definedName name="IndexZone">Vars!$C$106</definedName>
    <definedName name="InternetDownload1">Prod!$H$4</definedName>
    <definedName name="InternetDownload2">Prod!$H$433</definedName>
    <definedName name="INV_ButtonGet">Inv!$A$1</definedName>
    <definedName name="INV_CellToWriteDiscount">Inv!$Q$55</definedName>
    <definedName name="INV_CheckboxArea">Inv!$I$5:$L$7</definedName>
    <definedName name="INV_Date">Inv!$Q$2</definedName>
    <definedName name="INV_PaidInFull_Date">Vars!$C$146</definedName>
    <definedName name="INV_PaidInFull_Date2">Vars!$C$153</definedName>
    <definedName name="INV_PaidInFull_Methode">Vars!$C$147</definedName>
    <definedName name="INV_PaidInFull_Methode2">Vars!$C$155</definedName>
    <definedName name="INV_Range_ChkBoxInternetDownload">Inv!$K$7</definedName>
    <definedName name="INV_Range_ChkBoxNotForClient1">Inv!$I$5</definedName>
    <definedName name="INV_Range_ChkBoxNotForClient2">Inv!$I$6</definedName>
    <definedName name="INV_Range_ChkBoxNotForClient3">Inv!$K$6</definedName>
    <definedName name="INV_Shipped_Date">Vars!$C$149</definedName>
    <definedName name="INV_Shipped_Date2">Vars!$C$154</definedName>
    <definedName name="INV_Shipped_Method">Vars!$C$150</definedName>
    <definedName name="INV_Shipped_Method2">Vars!$C$156</definedName>
    <definedName name="INV_Shipping" localSheetId="3">CInv!$R$58</definedName>
    <definedName name="INV_Shipping">Inv!$R$58</definedName>
    <definedName name="INV_TrackingNumber">Vars!$C$151</definedName>
    <definedName name="INV_TrackingNumber2">Vars!$C$157</definedName>
    <definedName name="Invoice_Currency" localSheetId="3">CInv!$H$63</definedName>
    <definedName name="Invoice_Currency" localSheetId="4">PList!$H$63</definedName>
    <definedName name="Invoice_Currency">Inv!$H$63</definedName>
    <definedName name="LA_GenCalib_Drivers_Instr_Techsup">Calc!$A$12</definedName>
    <definedName name="LC_GenCalib_Drivers_Instr_Techsup">Calc!$A$10</definedName>
    <definedName name="N_LAScanners">Vars!$M$71</definedName>
    <definedName name="N_LCScanners">Vars!$M$73</definedName>
    <definedName name="N_OptionsTotal">Vars!$M$37</definedName>
    <definedName name="N_Soft_Upd_Upg_Total">N_SoftwareTotal+N_Upd_Upg_Total</definedName>
    <definedName name="N_SoftwareTotal">Vars!$M$34</definedName>
    <definedName name="N_STDScanners">Vars!$M$68</definedName>
    <definedName name="N_SystemTotal">Vars!$M$36</definedName>
    <definedName name="N_Upd_Upg_Total">Vars!$M$35</definedName>
    <definedName name="NMaxTray">Vars!$E$26</definedName>
    <definedName name="OptionButton_Suites">Vars!$C$118</definedName>
    <definedName name="_xlnm.Print_Area" localSheetId="3">CInv!Print_AreaDyn</definedName>
    <definedName name="_xlnm.Print_Area" localSheetId="5">EtiqShip!$A$1:$P$48</definedName>
    <definedName name="_xlnm.Print_Area" localSheetId="2">Inv!Print_AreaDyn</definedName>
    <definedName name="_xlnm.Print_Area" localSheetId="4">PList!Print_AreaDyn</definedName>
    <definedName name="_xlnm.Print_Area" localSheetId="1">Quote!Print_AreaDyn</definedName>
    <definedName name="_xlnm.Print_Area" localSheetId="19">'Ship$'!$A$1:$Y$33</definedName>
    <definedName name="_xlnm.Print_Area" localSheetId="18">'Static $'!$A$1:$C$144</definedName>
    <definedName name="Print_AreaDyn" localSheetId="3">OFFSET(CInv!$A$1, 0, 0, 67, (IF(ROWS(CInv!$X$24:$X$54)&gt;COUNTBLANK(CInv!$X$24:$X$54),2,1)*19))</definedName>
    <definedName name="Print_AreaDyn" localSheetId="2">OFFSET(Inv!$A$1, 0, 0, 67, (IF(ROWS(Inv!$X$24:$X$54)&gt;COUNTBLANK(Inv!$X$24:$X$54),2,1)*19)),Inv!$A$71:$R$117</definedName>
    <definedName name="Print_AreaDyn" localSheetId="4">OFFSET(PList!$A$1, 0, IF(AND(QUOTE_Split_SoftwareHardware,QUOTE_InternetDownload),19,0), 67, (IF(ROWS(PList!$X$24:$X$54)&gt;COUNTBLANK(PList!$X$24:$X$54),2-IF(AND(QUOTE_Split_SoftwareHardware,QUOTE_InternetDownload),1,0),1)*19))</definedName>
    <definedName name="Print_AreaDyn" localSheetId="1">OFFSET(Quote!$A$1, 0, 0, 67, (IF(ROWS(Quote!$V$24:$V$54)&gt;COUNTBLANK(Quote!$V$24:$V$54),2,1)*18)),Quote!$A$71:$R$117</definedName>
    <definedName name="PrixBlBgLA">Calc!$A$8</definedName>
    <definedName name="PrixBlBgLC">Calc!$A$6</definedName>
    <definedName name="PrixBlBgSTD">Calc!$A$7</definedName>
    <definedName name="PrixBlBgSTD_LA_LC">Calc!$A$7,Calc!$A$8,Calc!$A$6</definedName>
    <definedName name="PrixCoreHolder22">Calc!$A$27</definedName>
    <definedName name="PrixCoreHolder36">Calc!$A$28</definedName>
    <definedName name="PrixCorePosiLA">Calc!$A$29</definedName>
    <definedName name="PrixCorePosiSTD">Calc!$A$30</definedName>
    <definedName name="PrixGP27_Calib">Calc!$A$167</definedName>
    <definedName name="PrixGP27MiniTrepiedValise">Calc!$A$168</definedName>
    <definedName name="PrixGP27MiniTrepiedValise_Dist">Calc!$A$171</definedName>
    <definedName name="PrixLA">Calc!$A$86</definedName>
    <definedName name="PrixLA_Dist">Calc!$A$89</definedName>
    <definedName name="PrixLAavecTPU">Calc!$A$87</definedName>
    <definedName name="PrixLAavecTPU_Dist">Calc!$A$90</definedName>
    <definedName name="PrixLC">Calc!$A$119</definedName>
    <definedName name="PrixLC_Dist">Calc!$A$122</definedName>
    <definedName name="PrixRootPosiLA">Calc!$A$5</definedName>
    <definedName name="PrixRootPosiSTD">Calc!$A$4</definedName>
    <definedName name="PrixRPosiPLA_Dist">PrixRootPosiLA*(1-RebateHardware)</definedName>
    <definedName name="PrixRPosiSTD_Dist">PrixRootPosiSTD*(1-RebateHardware)</definedName>
    <definedName name="PrixSLR24_Calib">Calc!$A$143</definedName>
    <definedName name="PrixSLR24_Lentille">Calc!$A$34</definedName>
    <definedName name="PrixSLR24MiniTrepiedValise">Calc!$A$144</definedName>
    <definedName name="PrixSLR24MiniTrepiedValise_Dist">Calc!$A$147</definedName>
    <definedName name="PrixSTD">Calc!$A$71</definedName>
    <definedName name="PrixSTD_Dist">Calc!$A$74</definedName>
    <definedName name="PrixTarget">Calc!$A$31</definedName>
    <definedName name="PrixTPU">Calc!$A$102</definedName>
    <definedName name="PrixTPU_Dist">Calc!$A$105</definedName>
    <definedName name="PrixTray10x15cm">Calc!$A$16</definedName>
    <definedName name="PrixTray15x20cm">Calc!$A$17</definedName>
    <definedName name="PrixTray20x25cm">Calc!$A$18</definedName>
    <definedName name="PrixTray20x30cm">Calc!$A$22</definedName>
    <definedName name="PrixTray25x35cm">Calc!$A$23</definedName>
    <definedName name="PrixTray30x40cm">Calc!$A$24</definedName>
    <definedName name="PrixTraySet2MedLarge">Calc!$A$19</definedName>
    <definedName name="PrixTraySet2Small">Calc!$A$14</definedName>
    <definedName name="PrixTraySet3MedLarge">Calc!$A$20</definedName>
    <definedName name="PrixTraySet3Small">Calc!$A$15</definedName>
    <definedName name="PrixTraySet5SmallMedLarge">Calc!$A$21</definedName>
    <definedName name="PrixUSBKey">Calc!$A$2</definedName>
    <definedName name="PROD_MostPopularScanner">Vars!$L$10</definedName>
    <definedName name="PROD_NumeroClient">Prod!$E$3</definedName>
    <definedName name="QUOTE_CellToWriteDiscount">Quote!$P$55</definedName>
    <definedName name="QUOTE_CheckboxArea">Quote!$H$5:$K$7</definedName>
    <definedName name="Quote_Currency">Quote!$K$67</definedName>
    <definedName name="QUOTE_Date">Quote!$P$2</definedName>
    <definedName name="QUOTE_DetailedPrices">Vars!$C$101</definedName>
    <definedName name="QUOTE_DistDisableSameClient">Vars!$C$111</definedName>
    <definedName name="QUOTE_FilledByCustomer">Vars!$C$115</definedName>
    <definedName name="QUOTE_InternetDownload">Vars!$C$116</definedName>
    <definedName name="QUOTE_Range_ChkBoxInternetDownload">Quote!$J$7</definedName>
    <definedName name="QUOTE_Range_ChkBoxNotForClient1">Quote!$H$5</definedName>
    <definedName name="QUOTE_Range_ChkBoxNotForClient2">Quote!$H$6</definedName>
    <definedName name="QUOTE_Range_ChkBoxNotForClient3">Quote!$J$6</definedName>
    <definedName name="QUOTE_SameClient">Vars!$C$102</definedName>
    <definedName name="QUOTE_Shipping">Quote!$Q$58</definedName>
    <definedName name="QUOTE_Split_SoftwareHardware">Vars!$C$117</definedName>
    <definedName name="QUOTE_TRFF_Description">Vars!$C$163</definedName>
    <definedName name="RebateCalibScanner">Vars!$C$93</definedName>
    <definedName name="RebateCalibScanopy">Vars!$C$94</definedName>
    <definedName name="RebateHardware">Vars!$C$92</definedName>
    <definedName name="RebateScanner">Vars!$C$90</definedName>
    <definedName name="RebateShipping_SplitAndInternet">Vars!$C$152</definedName>
    <definedName name="RebateSoftware">Vars!$C$91</definedName>
    <definedName name="RebateTPU">Vars!$C$96</definedName>
    <definedName name="RebateTrays">Vars!$C$95</definedName>
    <definedName name="RHIZO_Access1">Prod!$C$412</definedName>
    <definedName name="RHIZO_ChkB_RemoteUpdate">Vars!$E$60</definedName>
    <definedName name="RHIZO_ChkBox_UpgradeUpdate">Vars!$E$29</definedName>
    <definedName name="RHIZO_ClientWithOrWithoutScanner">Vars!$E$31</definedName>
    <definedName name="RHIZO_ClientWithOrWithoutScanner_ChkBox">Vars!$E$32</definedName>
    <definedName name="RHIZO_IndexClientVersion">Vars!$E$25</definedName>
    <definedName name="RHIZO_IndexModelClient">Vars!$E$65</definedName>
    <definedName name="RHIZO_IndexModelSoftware">Vars!$E$64</definedName>
    <definedName name="RHIZO_IndexScanner">Vars!$E$4</definedName>
    <definedName name="RHIZO_IndexSoftware">Vars!$E$5</definedName>
    <definedName name="RHIZO_ManuelM1">Prod!$C$272</definedName>
    <definedName name="RHIZO_N_AlreadyHaveSoftware">Vars!$E$37</definedName>
    <definedName name="RHIZO_N_Software">Vars!$E$34</definedName>
    <definedName name="RHIZO_N_SoftwareOrUpg">Vars!$E$30</definedName>
    <definedName name="RHIZO_N_System">Vars!$E$36</definedName>
    <definedName name="RHIZO_N_UpgradeUpdate">Vars!$E$35</definedName>
    <definedName name="RHIZO_Option1">Vars!$E$13</definedName>
    <definedName name="RHIZO_Option10">Vars!$E$22</definedName>
    <definedName name="RHIZO_Option11">Vars!$E$23</definedName>
    <definedName name="RHIZO_Option12">Vars!$E$24</definedName>
    <definedName name="RHIZO_Option2">Vars!$E$14</definedName>
    <definedName name="RHIZO_Option3">Vars!$E$15</definedName>
    <definedName name="RHIZO_Option4">Vars!$E$16</definedName>
    <definedName name="RHIZO_Option5">Vars!$E$17</definedName>
    <definedName name="RHIZO_Option6">Vars!$E$18</definedName>
    <definedName name="RHIZO_Option7">Vars!$E$19</definedName>
    <definedName name="RHIZO_Option8">Vars!$E$20</definedName>
    <definedName name="RHIZO_Option9">Vars!$E$21</definedName>
    <definedName name="RHIZO_OptionXL">Vars!$E$6</definedName>
    <definedName name="RHIZO_PosiOrBlueBG_Checkbox">Vars!$E$33</definedName>
    <definedName name="RHIZO_Serial">Prod!$E$271&amp;IF(LEN(Prod!$E$278)&gt;0,", " &amp; Prod!$E$278,"")</definedName>
    <definedName name="RHIZO_SerialTPU">Prod!$J$271&amp;IF(LEN(Prod!$J$278)&gt;0,", " &amp; Prod!$J$278,"")</definedName>
    <definedName name="RHIZO_SoftwareFullNames">Vars!$E$38:$E$41</definedName>
    <definedName name="RHIZO_SoftwareList">Vars!$E$51:$E$54</definedName>
    <definedName name="RHIZO_SoftwarePriceList">Calc!$A$42:$A$45</definedName>
    <definedName name="RHIZO_UpgradeNameShort">Vars!$E$56:$E$59</definedName>
    <definedName name="RHIZO_UpgradeNModels">Vars!$E$28</definedName>
    <definedName name="RHIZO_YearClient">WinRHIZO!$D$5</definedName>
    <definedName name="RHIZO_YearMostRecent">Vars!$E$27</definedName>
    <definedName name="RHIZOTRON_ChkB_RemoteUpdate">Vars!$F$60</definedName>
    <definedName name="RHIZOTRON_ChkBox_UpgradeUpdate">Vars!$F$29</definedName>
    <definedName name="RHIZOTRON_ClientWithOrWithoutScanner">Vars!$F$31</definedName>
    <definedName name="RHIZOTRON_IndexClientVersion">Vars!$F$25</definedName>
    <definedName name="RHIZOTRON_IndexModelClient">Vars!$F$65</definedName>
    <definedName name="RHIZOTRON_IndexModelSoftware">Vars!$F$64</definedName>
    <definedName name="RHIZOTRON_IndexSoftware">Vars!$F$5</definedName>
    <definedName name="RHIZOTRON_N_AlreadyHaveSoftware">Vars!$F$37</definedName>
    <definedName name="RHIZOTRON_N_Software">Vars!$F$34</definedName>
    <definedName name="RHIZOTRON_N_SoftwareOrUpg">Vars!$F$30</definedName>
    <definedName name="RHIZOTRON_N_System">Vars!$F$36</definedName>
    <definedName name="RHIZOTRON_N_UpgradeUpdate">Vars!$F$35</definedName>
    <definedName name="RHIZOTRON_OptionXL">Vars!$F$6</definedName>
    <definedName name="RHIZOTRON_SoftwareFullNames">Vars!$F$38:$F$40</definedName>
    <definedName name="RHIZOTRON_SoftwareList">Vars!$F$51:$F$53</definedName>
    <definedName name="RHIZOTRON_SoftwarePriceList">Calc!$A$46:$A$48</definedName>
    <definedName name="RHIZOTRON_UpgradeNameShort">Vars!$F$56:$F$59</definedName>
    <definedName name="RHIZOTRON_YearClient">WinRHIZOTron!$D$5</definedName>
    <definedName name="RHIZOTRON_YearMostRecent">Vars!$F$27</definedName>
    <definedName name="ScannerHCode">Vars!$C$112</definedName>
    <definedName name="SCANOPY_CameraModel">Vars!$C$129</definedName>
    <definedName name="SCANOPY_CameraModel_Mini">Vars!$C$128</definedName>
    <definedName name="SCANOPY_ChkB_RemoteUpdate">Vars!$J$60</definedName>
    <definedName name="SCANOPY_ChkBox_UpgradeUpdate">Vars!$J$29</definedName>
    <definedName name="SCANOPY_ClientWithOrWithoutScanner">Vars!$J$31</definedName>
    <definedName name="SCANOPY_IndexClientVersion">Vars!$J$25</definedName>
    <definedName name="SCANOPY_IndexModelClient">Vars!$J$65</definedName>
    <definedName name="SCANOPY_IndexModelSoftware">Vars!$J$64</definedName>
    <definedName name="SCANOPY_IndexScanner">Vars!$J$4</definedName>
    <definedName name="SCANOPY_IndexSoftware">Vars!$J$5</definedName>
    <definedName name="SCANOPY_ManuelM1">Prod!$J$381</definedName>
    <definedName name="SCANOPY_N_AlreadyHaveSoftware">Vars!$J$37</definedName>
    <definedName name="SCANOPY_N_Software">Vars!$J$34</definedName>
    <definedName name="SCANOPY_N_SoftwareOrUpg">Vars!$J$30</definedName>
    <definedName name="SCANOPY_N_System">Vars!$J$36</definedName>
    <definedName name="SCANOPY_N_UpgradeUpdate">Vars!$J$35</definedName>
    <definedName name="SCANOPY_Option1">Vars!$J$13</definedName>
    <definedName name="SCANOPY_OptionXL">Vars!$J$6</definedName>
    <definedName name="SCANOPY_Serial">Prod!$E$381&amp;IF(LEN(Prod!$E$385)&gt;0,", " &amp; Prod!$E$385,"")</definedName>
    <definedName name="SCANOPY_SoftwareFullNames">Vars!$J$38:$J$40</definedName>
    <definedName name="SCANOPY_SoftwareList">Vars!$J$51:$J$53</definedName>
    <definedName name="SCANOPY_SoftwarePriceList">Calc!$A$58:$A$60</definedName>
    <definedName name="SCANOPY_UpgradeNameShort">Vars!$J$56:$J$59</definedName>
    <definedName name="SCANOPY_UpgradeNModels">Vars!$J$28</definedName>
    <definedName name="SCANOPY_YearClient">WinSCANOPY!$D$5</definedName>
    <definedName name="SCANOPY_YearMostRecent">Vars!$J$27</definedName>
    <definedName name="SEEDLE_Access1">Prod!$C$422</definedName>
    <definedName name="SEEDLE_ChkB_RemoteUpdate">Vars!$H$60</definedName>
    <definedName name="SEEDLE_ChkBox_UpgradeUpdate">Vars!$H$29</definedName>
    <definedName name="SEEDLE_ClientWithOrWithoutScanner">Vars!$H$31</definedName>
    <definedName name="SEEDLE_ClientWithOrWithoutScanner_ChkBox">Vars!$H$32</definedName>
    <definedName name="SEEDLE_IndexClientVersion">Vars!$H$25</definedName>
    <definedName name="SEEDLE_IndexModelClient">Vars!$H$65</definedName>
    <definedName name="SEEDLE_IndexModelSoftware">Vars!$H$64</definedName>
    <definedName name="SEEDLE_IndexScanner">Vars!$H$4</definedName>
    <definedName name="SEEDLE_IndexSoftware">Vars!$H$5</definedName>
    <definedName name="SEEDLE_ManuelM1">Prod!$C$327</definedName>
    <definedName name="SEEDLE_N_AlreadyHaveSoftware">Vars!$H$37</definedName>
    <definedName name="SEEDLE_N_Software">Vars!$H$34</definedName>
    <definedName name="SEEDLE_N_SoftwareOrUpg">Vars!$H$30</definedName>
    <definedName name="SEEDLE_N_System">Vars!$H$36</definedName>
    <definedName name="SEEDLE_N_UpgradeUpdate">Vars!$H$35</definedName>
    <definedName name="SEEDLE_Option1">Vars!$H$13</definedName>
    <definedName name="SEEDLE_Option10">Vars!$H$22</definedName>
    <definedName name="SEEDLE_Option11">Vars!$H$23</definedName>
    <definedName name="SEEDLE_Option12">Vars!$H$24</definedName>
    <definedName name="SEEDLE_Option2">Vars!$H$14</definedName>
    <definedName name="SEEDLE_Option3">Vars!$H$15</definedName>
    <definedName name="SEEDLE_Option4">Vars!$H$16</definedName>
    <definedName name="SEEDLE_Option5">Vars!$H$17</definedName>
    <definedName name="SEEDLE_Option6">Vars!$H$18</definedName>
    <definedName name="SEEDLE_Option7">Vars!$H$19</definedName>
    <definedName name="SEEDLE_Option8">Vars!$H$20</definedName>
    <definedName name="SEEDLE_Option9">Vars!$H$21</definedName>
    <definedName name="SEEDLE_OptionXL">Vars!$H$6</definedName>
    <definedName name="SEEDLE_PosiOrBlueBG_Checkbox">Vars!$H$33</definedName>
    <definedName name="SEEDLE_Serial">Prod!$E$326&amp;IF(LEN(Prod!$E$333)&gt;0,", " &amp; Prod!$E$333,"")</definedName>
    <definedName name="SEEDLE_SerialTPU">Prod!$J$326&amp;IF(LEN(Prod!$J$333)&gt;0,", " &amp; Prod!$J$333,"")</definedName>
    <definedName name="SEEDLE_SoftwareFullNames">Vars!$H$38:$H$40</definedName>
    <definedName name="SEEDLE_SoftwareList">Vars!$H$51:$H$53</definedName>
    <definedName name="SEEDLE_SoftwarePriceList">Calc!$A$52:$A$54</definedName>
    <definedName name="SEEDLE_UpgradeNameShort">Vars!$H$56:$H$59</definedName>
    <definedName name="SEEDLE_UpgradeNModels">Vars!$H$28</definedName>
    <definedName name="SEEDLE_YearClient">WinSEEDLE!$D$5</definedName>
    <definedName name="SEEDLE_YearMostRecent">Vars!$H$27</definedName>
    <definedName name="SHIP_CostSoftware">Vars!$P$34</definedName>
    <definedName name="SHIP_CostTotal">Vars!$P$86</definedName>
    <definedName name="SHIP_Country_Abrev">Vars!$C$142</definedName>
    <definedName name="SHIP_Country_Index">Vars!$C$126</definedName>
    <definedName name="SHIP_CountryFiltered">OFFSET(Vars!$I$218:$I$423,0,0,SUM(Vars!$H$218:$H$423),1)</definedName>
    <definedName name="SHIP_CrossShipping">Vars!$C$143</definedName>
    <definedName name="SHIP_CurrencyTaux">Vars!$C$127</definedName>
    <definedName name="SHIP_MultiplicateurPrix">'Ship$'!$T$2</definedName>
    <definedName name="ShowStaticListPrice">Vars!$C$139</definedName>
    <definedName name="StaticPriceList_Names">'Static $'!$B$1:$B$172</definedName>
    <definedName name="STD_GenCalib_Drivers_Instr_Techsup">Calc!$A$11</definedName>
    <definedName name="SUITE_IndexSoftware">Vars!$K$5</definedName>
    <definedName name="SUITE_SoftwareFullNames">Vars!$K$38:$K$49</definedName>
    <definedName name="SuperUser">Vars!$C$138</definedName>
    <definedName name="Supp_Description">Vars!$C$148</definedName>
    <definedName name="TauxEuro">Calc!#REF!</definedName>
    <definedName name="TauxUS">Calc!#REF!</definedName>
    <definedName name="TextTrayWarranty">Vars!$C$110</definedName>
    <definedName name="TotalPackages">Vars!$M$86</definedName>
    <definedName name="TotalWeight">Vars!$L$86</definedName>
    <definedName name="Tray1To3">Vars!$B$177:$B$180</definedName>
    <definedName name="TRFF_Description">Vars!$C$162</definedName>
    <definedName name="UpdateMinPrice">Vars!$C$202</definedName>
    <definedName name="UpdateNAnnesMax">Vars!$C$200</definedName>
    <definedName name="UpdateResidualValueAfterAnneesMax">Vars!$C$201</definedName>
    <definedName name="VARS_Home_En">Vars!$C$208</definedName>
    <definedName name="VARS_Home_Fr">Vars!$C$209</definedName>
    <definedName name="VARS_Home_PasSameClient_En">Vars!$C$210</definedName>
    <definedName name="VARS_Home_PasSameClient_Fr">Vars!$C$211</definedName>
    <definedName name="VARS_PriceRise2026_ShipCost">Vars!$C$100</definedName>
    <definedName name="VARS_PriceRise2026_Soft">Vars!$C$97</definedName>
    <definedName name="VARS_PriceRise2026_Tray">Vars!$C$98</definedName>
    <definedName name="VARS_PriceRise2026_Updates">Vars!$C$99</definedName>
    <definedName name="VARS_Range_ChkBoxInternetDownload">Vars!$K$206</definedName>
    <definedName name="VARS_RowNumSelectedCountry">Vars!$J$218</definedName>
    <definedName name="WeightUSBKey">Vars!$C$113</definedName>
    <definedName name="YearOfList">Vars!$C$125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 i="37" l="1"/>
  <c r="P13" i="26"/>
  <c r="Q2" i="33"/>
  <c r="P2" i="26"/>
  <c r="J81" i="14" l="1"/>
  <c r="J82" i="14"/>
  <c r="M82" i="14" s="1"/>
  <c r="N82" i="14" s="1"/>
  <c r="AD19" i="43"/>
  <c r="AN19" i="43"/>
  <c r="AM19" i="43"/>
  <c r="AM20" i="43" s="1"/>
  <c r="AL19" i="43"/>
  <c r="AL20" i="43" s="1"/>
  <c r="AK19" i="43"/>
  <c r="AJ19" i="43"/>
  <c r="AJ20" i="43" s="1"/>
  <c r="AH19" i="43"/>
  <c r="AG19" i="43"/>
  <c r="AF19" i="43"/>
  <c r="AE19" i="43"/>
  <c r="AF20" i="43" l="1"/>
  <c r="AH20" i="43"/>
  <c r="AK20" i="43"/>
  <c r="AE20" i="43"/>
  <c r="AG20" i="43"/>
  <c r="AD20" i="43"/>
  <c r="AN20" i="43"/>
  <c r="O82" i="14"/>
  <c r="S20" i="43" l="1"/>
  <c r="P20" i="43"/>
  <c r="M20" i="43"/>
  <c r="G20" i="43"/>
  <c r="C100" i="14"/>
  <c r="K7" i="33"/>
  <c r="J7" i="26"/>
  <c r="T2" i="43"/>
  <c r="E20" i="43" s="1"/>
  <c r="C136" i="14"/>
  <c r="B1" i="23"/>
  <c r="B1" i="18"/>
  <c r="B1" i="1"/>
  <c r="B1" i="22"/>
  <c r="B1" i="20"/>
  <c r="B1" i="21"/>
  <c r="B1" i="19"/>
  <c r="B1" i="5"/>
  <c r="AK62" i="41"/>
  <c r="D18" i="43" l="1"/>
  <c r="T20" i="43"/>
  <c r="D19" i="43"/>
  <c r="G19" i="43"/>
  <c r="S19" i="43"/>
  <c r="R19" i="43"/>
  <c r="V20" i="43"/>
  <c r="M19" i="43"/>
  <c r="E19" i="43"/>
  <c r="P19" i="43"/>
  <c r="T19" i="43"/>
  <c r="R20" i="43"/>
  <c r="V19" i="43"/>
  <c r="I19" i="43"/>
  <c r="I20" i="43"/>
  <c r="D20" i="43"/>
  <c r="C106" i="14"/>
  <c r="W28" i="43" l="1"/>
  <c r="W29" i="43" s="1"/>
  <c r="D7" i="43"/>
  <c r="C104" i="14" l="1"/>
  <c r="A14" i="23" l="1"/>
  <c r="I140" i="27"/>
  <c r="I139" i="27"/>
  <c r="I138" i="27"/>
  <c r="L138" i="27"/>
  <c r="C138" i="27"/>
  <c r="D21" i="23"/>
  <c r="D20" i="23"/>
  <c r="D19" i="23"/>
  <c r="D18" i="23"/>
  <c r="D17" i="23"/>
  <c r="D16" i="23"/>
  <c r="D15" i="23"/>
  <c r="C14" i="23"/>
  <c r="F399" i="35"/>
  <c r="F398" i="35"/>
  <c r="E398" i="35"/>
  <c r="D398" i="35"/>
  <c r="C398" i="35"/>
  <c r="J397" i="35"/>
  <c r="G397" i="35"/>
  <c r="D397" i="35"/>
  <c r="C397" i="35"/>
  <c r="F395" i="35"/>
  <c r="F394" i="35"/>
  <c r="E394" i="35"/>
  <c r="D394" i="35"/>
  <c r="C394" i="35"/>
  <c r="J393" i="35"/>
  <c r="G393" i="35"/>
  <c r="D393" i="35"/>
  <c r="C393" i="35"/>
  <c r="F391" i="35"/>
  <c r="F390" i="35"/>
  <c r="E390" i="35"/>
  <c r="D390" i="35"/>
  <c r="C390" i="35"/>
  <c r="J389" i="35"/>
  <c r="G389" i="35"/>
  <c r="D389" i="35"/>
  <c r="C389" i="35"/>
  <c r="F387" i="35"/>
  <c r="F386" i="35"/>
  <c r="E386" i="35"/>
  <c r="D386" i="35"/>
  <c r="C386" i="35"/>
  <c r="J385" i="35"/>
  <c r="G385" i="35"/>
  <c r="D385" i="35"/>
  <c r="C385" i="35"/>
  <c r="C382" i="35"/>
  <c r="D382" i="35"/>
  <c r="E382" i="35"/>
  <c r="F382" i="35"/>
  <c r="J381" i="35"/>
  <c r="D381" i="35"/>
  <c r="C381" i="35"/>
  <c r="N247" i="35"/>
  <c r="N244" i="35"/>
  <c r="N241" i="35"/>
  <c r="N238" i="35"/>
  <c r="N235" i="35"/>
  <c r="N232" i="35"/>
  <c r="N229" i="35"/>
  <c r="N226" i="35"/>
  <c r="N223" i="35"/>
  <c r="N220" i="35"/>
  <c r="N217" i="35"/>
  <c r="N214" i="35"/>
  <c r="N211" i="35"/>
  <c r="N208" i="35"/>
  <c r="N205" i="35"/>
  <c r="N202" i="35"/>
  <c r="N199" i="35"/>
  <c r="N196" i="35"/>
  <c r="N193" i="35"/>
  <c r="N190" i="35"/>
  <c r="N187" i="35"/>
  <c r="N184" i="35"/>
  <c r="N181" i="35"/>
  <c r="N178" i="35"/>
  <c r="N175" i="35"/>
  <c r="N172" i="35"/>
  <c r="N169" i="35"/>
  <c r="N166" i="35"/>
  <c r="N163" i="35"/>
  <c r="N160" i="35"/>
  <c r="N157" i="35"/>
  <c r="N154" i="35"/>
  <c r="N151" i="35"/>
  <c r="N148" i="35"/>
  <c r="N145" i="35"/>
  <c r="N142" i="35"/>
  <c r="N139" i="35"/>
  <c r="N136" i="35"/>
  <c r="N133" i="35"/>
  <c r="N130" i="35"/>
  <c r="N127" i="35"/>
  <c r="N124" i="35"/>
  <c r="N121" i="35"/>
  <c r="N118" i="35"/>
  <c r="N115" i="35"/>
  <c r="N112" i="35"/>
  <c r="N109" i="35"/>
  <c r="N106" i="35"/>
  <c r="N103" i="35"/>
  <c r="N100" i="35"/>
  <c r="N97" i="35"/>
  <c r="N94" i="35"/>
  <c r="N91" i="35"/>
  <c r="N88" i="35"/>
  <c r="N85" i="35"/>
  <c r="N82" i="35"/>
  <c r="N79" i="35"/>
  <c r="N76" i="35"/>
  <c r="N73" i="35"/>
  <c r="N70" i="35"/>
  <c r="N67" i="35"/>
  <c r="N64" i="35"/>
  <c r="N61" i="35"/>
  <c r="N58" i="35"/>
  <c r="N55" i="35"/>
  <c r="N52" i="35"/>
  <c r="N49" i="35"/>
  <c r="N46" i="35"/>
  <c r="N43" i="35"/>
  <c r="N40" i="35"/>
  <c r="N37" i="35"/>
  <c r="N34" i="35"/>
  <c r="N31" i="35"/>
  <c r="N28" i="35"/>
  <c r="N25" i="35"/>
  <c r="N22" i="35"/>
  <c r="N19" i="35"/>
  <c r="N16" i="35"/>
  <c r="N13" i="35"/>
  <c r="N10" i="35"/>
  <c r="C140" i="27"/>
  <c r="C139" i="27"/>
  <c r="J80" i="14"/>
  <c r="D22" i="23"/>
  <c r="F383" i="35"/>
  <c r="D30" i="43"/>
  <c r="D28" i="43"/>
  <c r="D29" i="43" s="1"/>
  <c r="D27" i="43"/>
  <c r="D25" i="43"/>
  <c r="D24" i="43"/>
  <c r="D23" i="43"/>
  <c r="D22" i="43"/>
  <c r="D16" i="43"/>
  <c r="D15" i="43"/>
  <c r="D13" i="43"/>
  <c r="D11" i="43"/>
  <c r="B77" i="33" l="1"/>
  <c r="B77" i="26"/>
  <c r="I143" i="27"/>
  <c r="I122" i="27"/>
  <c r="I95" i="27"/>
  <c r="I76" i="27"/>
  <c r="I62" i="27"/>
  <c r="I27" i="27"/>
  <c r="I13" i="27"/>
  <c r="I41" i="27"/>
  <c r="C52" i="28"/>
  <c r="C22" i="28"/>
  <c r="A50" i="28"/>
  <c r="A40" i="28"/>
  <c r="G58" i="28"/>
  <c r="A58" i="28"/>
  <c r="G57" i="28"/>
  <c r="A57" i="28"/>
  <c r="G56" i="28"/>
  <c r="A56" i="28"/>
  <c r="A55" i="28"/>
  <c r="A54" i="28"/>
  <c r="A53" i="28"/>
  <c r="G52" i="28"/>
  <c r="A52" i="28"/>
  <c r="G48" i="28"/>
  <c r="A48" i="28"/>
  <c r="G47" i="28"/>
  <c r="A47" i="28"/>
  <c r="G46" i="28"/>
  <c r="A46" i="28"/>
  <c r="A45" i="28"/>
  <c r="A44" i="28"/>
  <c r="A43" i="28"/>
  <c r="G42" i="28"/>
  <c r="C42" i="28"/>
  <c r="A42" i="28"/>
  <c r="A30" i="28"/>
  <c r="G38" i="28"/>
  <c r="A38" i="28"/>
  <c r="G37" i="28"/>
  <c r="A37" i="28"/>
  <c r="G36" i="28"/>
  <c r="A36" i="28"/>
  <c r="A35" i="28"/>
  <c r="A34" i="28"/>
  <c r="A33" i="28"/>
  <c r="G32" i="28"/>
  <c r="C32" i="28"/>
  <c r="A32" i="28"/>
  <c r="J188" i="35"/>
  <c r="J95" i="35"/>
  <c r="J158" i="35"/>
  <c r="J41" i="35"/>
  <c r="J212" i="35"/>
  <c r="J161" i="35"/>
  <c r="J65" i="35"/>
  <c r="J71" i="35"/>
  <c r="J137" i="35"/>
  <c r="J86" i="35"/>
  <c r="J62" i="35"/>
  <c r="J197" i="35"/>
  <c r="J218" i="35"/>
  <c r="J155" i="35"/>
  <c r="J176" i="35"/>
  <c r="J47" i="35"/>
  <c r="J233" i="35"/>
  <c r="J224" i="35"/>
  <c r="J59" i="35"/>
  <c r="J50" i="35"/>
  <c r="J38" i="35"/>
  <c r="J182" i="35"/>
  <c r="J23" i="35"/>
  <c r="J107" i="35"/>
  <c r="J242" i="35"/>
  <c r="J128" i="35"/>
  <c r="J53" i="35"/>
  <c r="J230" i="35"/>
  <c r="J11" i="35"/>
  <c r="J146" i="35"/>
  <c r="J26" i="35"/>
  <c r="J44" i="35"/>
  <c r="J20" i="35"/>
  <c r="J203" i="35"/>
  <c r="J215" i="35"/>
  <c r="J89" i="35"/>
  <c r="J206" i="35"/>
  <c r="J56" i="35"/>
  <c r="J209" i="35"/>
  <c r="J35" i="35"/>
  <c r="J131" i="35"/>
  <c r="J101" i="35"/>
  <c r="J194" i="35"/>
  <c r="J68" i="35"/>
  <c r="J248" i="35"/>
  <c r="J152" i="35"/>
  <c r="J221" i="35"/>
  <c r="J74" i="35"/>
  <c r="J236" i="35"/>
  <c r="J191" i="35"/>
  <c r="J116" i="35"/>
  <c r="J227" i="35"/>
  <c r="J140" i="35"/>
  <c r="J77" i="35"/>
  <c r="J110" i="35"/>
  <c r="J119" i="35"/>
  <c r="J164" i="35"/>
  <c r="J239" i="35"/>
  <c r="J104" i="35"/>
  <c r="J185" i="35"/>
  <c r="J149" i="35"/>
  <c r="J125" i="35"/>
  <c r="J17" i="35"/>
  <c r="J167" i="35"/>
  <c r="J92" i="35"/>
  <c r="J113" i="35"/>
  <c r="J83" i="35"/>
  <c r="J200" i="35"/>
  <c r="J98" i="35"/>
  <c r="J245" i="35"/>
  <c r="J173" i="35"/>
  <c r="J29" i="35"/>
  <c r="J122" i="35"/>
  <c r="J14" i="35"/>
  <c r="J143" i="35"/>
  <c r="J134" i="35"/>
  <c r="J170" i="35"/>
  <c r="J179" i="35"/>
  <c r="J32" i="35"/>
  <c r="J80" i="35"/>
  <c r="AH11" i="43" l="1"/>
  <c r="P11" i="43" s="1"/>
  <c r="AB19" i="34"/>
  <c r="I19" i="34"/>
  <c r="AB19" i="41"/>
  <c r="I19" i="41"/>
  <c r="AB19" i="33"/>
  <c r="I19" i="33"/>
  <c r="U19" i="34"/>
  <c r="B19" i="34"/>
  <c r="U19" i="41"/>
  <c r="B19" i="41"/>
  <c r="U19" i="33"/>
  <c r="B19" i="33"/>
  <c r="B19" i="26"/>
  <c r="Z19" i="26"/>
  <c r="T19" i="26"/>
  <c r="H19" i="26"/>
  <c r="AB20" i="33"/>
  <c r="AB20" i="34" s="1"/>
  <c r="Z20" i="26"/>
  <c r="I20" i="33"/>
  <c r="M47" i="36" s="1"/>
  <c r="H20" i="26"/>
  <c r="AB20" i="41" l="1"/>
  <c r="I20" i="34"/>
  <c r="E47" i="36"/>
  <c r="I20" i="41"/>
  <c r="M31" i="36"/>
  <c r="E15" i="36"/>
  <c r="M15" i="36"/>
  <c r="E31" i="36"/>
  <c r="D158" i="27"/>
  <c r="V30" i="43" l="1"/>
  <c r="T30" i="43"/>
  <c r="S30" i="43"/>
  <c r="R30" i="43"/>
  <c r="P30" i="43"/>
  <c r="M30" i="43"/>
  <c r="I30" i="43"/>
  <c r="G30" i="43"/>
  <c r="E30" i="43"/>
  <c r="V28" i="43"/>
  <c r="V29" i="43" s="1"/>
  <c r="T28" i="43"/>
  <c r="T29" i="43" s="1"/>
  <c r="S28" i="43"/>
  <c r="S29" i="43" s="1"/>
  <c r="R28" i="43"/>
  <c r="R29" i="43" s="1"/>
  <c r="Q28" i="43"/>
  <c r="Q29" i="43" s="1"/>
  <c r="P28" i="43"/>
  <c r="P29" i="43" s="1"/>
  <c r="O28" i="43"/>
  <c r="O29" i="43" s="1"/>
  <c r="M28" i="43"/>
  <c r="M29" i="43" s="1"/>
  <c r="I28" i="43"/>
  <c r="I29" i="43" s="1"/>
  <c r="G28" i="43"/>
  <c r="G29" i="43" s="1"/>
  <c r="F28" i="43"/>
  <c r="F29" i="43" s="1"/>
  <c r="E28" i="43"/>
  <c r="E29" i="43" s="1"/>
  <c r="V27" i="43"/>
  <c r="T27" i="43"/>
  <c r="S27" i="43"/>
  <c r="R27" i="43"/>
  <c r="P27" i="43"/>
  <c r="M27" i="43"/>
  <c r="I27" i="43"/>
  <c r="G27" i="43"/>
  <c r="E27" i="43"/>
  <c r="V25" i="43"/>
  <c r="T25" i="43"/>
  <c r="S25" i="43"/>
  <c r="R25" i="43"/>
  <c r="P25" i="43"/>
  <c r="M25" i="43"/>
  <c r="I25" i="43"/>
  <c r="G25" i="43"/>
  <c r="E25" i="43"/>
  <c r="V24" i="43"/>
  <c r="T24" i="43"/>
  <c r="S24" i="43"/>
  <c r="R24" i="43"/>
  <c r="P24" i="43"/>
  <c r="M24" i="43"/>
  <c r="I24" i="43"/>
  <c r="G24" i="43"/>
  <c r="E24" i="43"/>
  <c r="V23" i="43"/>
  <c r="T23" i="43"/>
  <c r="S23" i="43"/>
  <c r="R23" i="43"/>
  <c r="P23" i="43"/>
  <c r="M23" i="43"/>
  <c r="I23" i="43"/>
  <c r="G23" i="43"/>
  <c r="E23" i="43"/>
  <c r="V22" i="43"/>
  <c r="T22" i="43"/>
  <c r="S22" i="43"/>
  <c r="R22" i="43"/>
  <c r="P22" i="43"/>
  <c r="M22" i="43"/>
  <c r="I22" i="43"/>
  <c r="G22" i="43"/>
  <c r="E22" i="43"/>
  <c r="V18" i="43"/>
  <c r="T18" i="43"/>
  <c r="S18" i="43"/>
  <c r="R18" i="43"/>
  <c r="P18" i="43"/>
  <c r="M18" i="43"/>
  <c r="I18" i="43"/>
  <c r="G18" i="43"/>
  <c r="E18" i="43"/>
  <c r="V16" i="43"/>
  <c r="T16" i="43"/>
  <c r="S16" i="43"/>
  <c r="R16" i="43"/>
  <c r="P16" i="43"/>
  <c r="M16" i="43"/>
  <c r="I16" i="43"/>
  <c r="G16" i="43"/>
  <c r="E16" i="43"/>
  <c r="V15" i="43"/>
  <c r="T15" i="43"/>
  <c r="S15" i="43"/>
  <c r="R15" i="43"/>
  <c r="P15" i="43"/>
  <c r="M15" i="43"/>
  <c r="I15" i="43"/>
  <c r="G15" i="43"/>
  <c r="E15" i="43"/>
  <c r="V11" i="43"/>
  <c r="T11" i="43"/>
  <c r="S11" i="43"/>
  <c r="R11" i="43"/>
  <c r="M11" i="43"/>
  <c r="I11" i="43"/>
  <c r="G11" i="43"/>
  <c r="E11" i="43"/>
  <c r="F8" i="43"/>
  <c r="X7" i="43"/>
  <c r="X13" i="43" s="1"/>
  <c r="W7" i="43"/>
  <c r="W13" i="43" s="1"/>
  <c r="V7" i="43"/>
  <c r="V13" i="43" s="1"/>
  <c r="T7" i="43"/>
  <c r="T13" i="43" s="1"/>
  <c r="S7" i="43"/>
  <c r="S13" i="43" s="1"/>
  <c r="R7" i="43"/>
  <c r="R13" i="43" s="1"/>
  <c r="Q7" i="43"/>
  <c r="P7" i="43"/>
  <c r="P13" i="43" s="1"/>
  <c r="O7" i="43"/>
  <c r="O13" i="43" s="1"/>
  <c r="M7" i="43"/>
  <c r="M13" i="43" s="1"/>
  <c r="L7" i="43"/>
  <c r="K7" i="43"/>
  <c r="J7" i="43"/>
  <c r="I7" i="43"/>
  <c r="G7" i="43"/>
  <c r="G13" i="43" s="1"/>
  <c r="F7" i="43"/>
  <c r="F13" i="43" s="1"/>
  <c r="E7" i="43"/>
  <c r="E13" i="43" s="1"/>
  <c r="D27" i="37"/>
  <c r="G194" i="27"/>
  <c r="F194" i="27"/>
  <c r="E194" i="27"/>
  <c r="K192" i="27"/>
  <c r="B192" i="27"/>
  <c r="K191" i="27"/>
  <c r="K190" i="27"/>
  <c r="K189" i="27"/>
  <c r="K188" i="27"/>
  <c r="K187" i="27"/>
  <c r="K186" i="27"/>
  <c r="K185" i="27"/>
  <c r="U179" i="27"/>
  <c r="T179" i="27"/>
  <c r="S179" i="27"/>
  <c r="R179" i="27"/>
  <c r="Q179" i="27"/>
  <c r="P179" i="27"/>
  <c r="O179" i="27"/>
  <c r="N179" i="27"/>
  <c r="I179" i="27"/>
  <c r="U178" i="27"/>
  <c r="T178" i="27"/>
  <c r="S178" i="27"/>
  <c r="R178" i="27"/>
  <c r="Q178" i="27"/>
  <c r="P178" i="27"/>
  <c r="O178" i="27"/>
  <c r="N178" i="27"/>
  <c r="I178" i="27"/>
  <c r="U177" i="27"/>
  <c r="T177" i="27"/>
  <c r="S177" i="27"/>
  <c r="R177" i="27"/>
  <c r="Q177" i="27"/>
  <c r="P177" i="27"/>
  <c r="O177" i="27"/>
  <c r="N177" i="27"/>
  <c r="I177" i="27"/>
  <c r="U176" i="27"/>
  <c r="T176" i="27"/>
  <c r="S176" i="27"/>
  <c r="R176" i="27"/>
  <c r="Q176" i="27"/>
  <c r="P176" i="27"/>
  <c r="O176" i="27"/>
  <c r="N176" i="27"/>
  <c r="I176" i="27"/>
  <c r="U175" i="27"/>
  <c r="T175" i="27"/>
  <c r="S175" i="27"/>
  <c r="R175" i="27"/>
  <c r="Q175" i="27"/>
  <c r="P175" i="27"/>
  <c r="O175" i="27"/>
  <c r="N175" i="27"/>
  <c r="I175" i="27"/>
  <c r="U174" i="27"/>
  <c r="T174" i="27"/>
  <c r="S174" i="27"/>
  <c r="R174" i="27"/>
  <c r="Q174" i="27"/>
  <c r="P174" i="27"/>
  <c r="O174" i="27"/>
  <c r="N174" i="27"/>
  <c r="I174" i="27"/>
  <c r="U173" i="27"/>
  <c r="T173" i="27"/>
  <c r="S173" i="27"/>
  <c r="R173" i="27"/>
  <c r="Q173" i="27"/>
  <c r="P173" i="27"/>
  <c r="O173" i="27"/>
  <c r="N173" i="27"/>
  <c r="I173" i="27"/>
  <c r="U172" i="27"/>
  <c r="T172" i="27"/>
  <c r="S172" i="27"/>
  <c r="R172" i="27"/>
  <c r="Q172" i="27"/>
  <c r="P172" i="27"/>
  <c r="O172" i="27"/>
  <c r="N172" i="27"/>
  <c r="J172" i="27"/>
  <c r="J173" i="27" s="1"/>
  <c r="J174" i="27" s="1"/>
  <c r="J175" i="27" s="1"/>
  <c r="J176" i="27" s="1"/>
  <c r="J177" i="27" s="1"/>
  <c r="J178" i="27" s="1"/>
  <c r="J179" i="27" s="1"/>
  <c r="I172" i="27"/>
  <c r="I171" i="27"/>
  <c r="M160" i="27"/>
  <c r="L160" i="27"/>
  <c r="K160" i="27"/>
  <c r="J160" i="27"/>
  <c r="I160" i="27"/>
  <c r="D160" i="27"/>
  <c r="H160" i="27" s="1"/>
  <c r="C160" i="27"/>
  <c r="M159" i="27"/>
  <c r="L159" i="27"/>
  <c r="K159" i="27"/>
  <c r="J159" i="27"/>
  <c r="I159" i="27"/>
  <c r="D159" i="27"/>
  <c r="C159" i="27"/>
  <c r="M158" i="27"/>
  <c r="L158" i="27"/>
  <c r="K158" i="27"/>
  <c r="J158" i="27"/>
  <c r="I158" i="27"/>
  <c r="H158" i="27"/>
  <c r="C158" i="27"/>
  <c r="M157" i="27"/>
  <c r="L157" i="27"/>
  <c r="K157" i="27"/>
  <c r="J157" i="27"/>
  <c r="I157" i="27"/>
  <c r="C157" i="27"/>
  <c r="M155" i="27"/>
  <c r="L155" i="27"/>
  <c r="K155" i="27"/>
  <c r="J155" i="27"/>
  <c r="I155" i="27"/>
  <c r="C155" i="27"/>
  <c r="L154" i="27"/>
  <c r="K154" i="27"/>
  <c r="J154" i="27"/>
  <c r="L153" i="27"/>
  <c r="K153" i="27"/>
  <c r="J153" i="27"/>
  <c r="L152" i="27"/>
  <c r="K152" i="27"/>
  <c r="J152" i="27"/>
  <c r="L151" i="27"/>
  <c r="K151" i="27"/>
  <c r="J151" i="27"/>
  <c r="L150" i="27"/>
  <c r="K150" i="27"/>
  <c r="J150" i="27"/>
  <c r="L149" i="27"/>
  <c r="K149" i="27"/>
  <c r="J149" i="27"/>
  <c r="L148" i="27"/>
  <c r="K148" i="27"/>
  <c r="J148" i="27"/>
  <c r="M146" i="27"/>
  <c r="L146" i="27"/>
  <c r="K146" i="27"/>
  <c r="J146" i="27"/>
  <c r="I146" i="27"/>
  <c r="C146" i="27"/>
  <c r="J145" i="27"/>
  <c r="I145" i="27"/>
  <c r="C145" i="27"/>
  <c r="B145" i="27"/>
  <c r="M144" i="27"/>
  <c r="L144" i="27"/>
  <c r="K144" i="27"/>
  <c r="J144" i="27"/>
  <c r="I144" i="27"/>
  <c r="C144" i="27"/>
  <c r="K143" i="27"/>
  <c r="J143" i="27"/>
  <c r="J132" i="27" s="1"/>
  <c r="I132" i="27"/>
  <c r="J141" i="27"/>
  <c r="M140" i="27"/>
  <c r="L140" i="27"/>
  <c r="J140" i="27"/>
  <c r="K139" i="27"/>
  <c r="J139" i="27"/>
  <c r="J138" i="27"/>
  <c r="J137" i="27"/>
  <c r="I137" i="27"/>
  <c r="F136" i="27"/>
  <c r="I136" i="27" s="1"/>
  <c r="E136" i="27"/>
  <c r="M135" i="27"/>
  <c r="L135" i="27"/>
  <c r="J135" i="27"/>
  <c r="I135" i="27"/>
  <c r="D135" i="27"/>
  <c r="G135" i="27" s="1"/>
  <c r="C135" i="27"/>
  <c r="M134" i="27"/>
  <c r="L134" i="27"/>
  <c r="J134" i="27"/>
  <c r="I134" i="27"/>
  <c r="M133" i="27"/>
  <c r="L133" i="27"/>
  <c r="K133" i="27"/>
  <c r="J133" i="27"/>
  <c r="I133" i="27"/>
  <c r="C133" i="27"/>
  <c r="C132" i="27"/>
  <c r="J131" i="27"/>
  <c r="J130" i="27"/>
  <c r="C130" i="27"/>
  <c r="C137" i="27" s="1"/>
  <c r="M129" i="27"/>
  <c r="L129" i="27"/>
  <c r="K129" i="27"/>
  <c r="J129" i="27"/>
  <c r="I129" i="27"/>
  <c r="C129" i="27"/>
  <c r="K128" i="27"/>
  <c r="J128" i="27"/>
  <c r="K127" i="27"/>
  <c r="J127" i="27"/>
  <c r="K126" i="27"/>
  <c r="J126" i="27"/>
  <c r="M125" i="27"/>
  <c r="L125" i="27"/>
  <c r="K125" i="27"/>
  <c r="J125" i="27"/>
  <c r="H125" i="27"/>
  <c r="G125" i="27"/>
  <c r="I124" i="27"/>
  <c r="C124" i="27"/>
  <c r="B124" i="27"/>
  <c r="M123" i="27"/>
  <c r="L123" i="27"/>
  <c r="K123" i="27"/>
  <c r="J123" i="27"/>
  <c r="I123" i="27"/>
  <c r="C123" i="27"/>
  <c r="K122" i="27"/>
  <c r="J122" i="27"/>
  <c r="J113" i="27" s="1"/>
  <c r="I113" i="27"/>
  <c r="M121" i="27"/>
  <c r="L121" i="27"/>
  <c r="K121" i="27"/>
  <c r="J121" i="27"/>
  <c r="J120" i="27"/>
  <c r="J124" i="27" s="1"/>
  <c r="J119" i="27"/>
  <c r="M118" i="27"/>
  <c r="L118" i="27"/>
  <c r="K118" i="27"/>
  <c r="J118" i="27"/>
  <c r="J117" i="27"/>
  <c r="I117" i="27"/>
  <c r="F116" i="27"/>
  <c r="I116" i="27" s="1"/>
  <c r="E116" i="27"/>
  <c r="M114" i="27"/>
  <c r="L114" i="27"/>
  <c r="K114" i="27"/>
  <c r="J114" i="27"/>
  <c r="I114" i="27"/>
  <c r="C114" i="27"/>
  <c r="C113" i="27"/>
  <c r="J112" i="27"/>
  <c r="J111" i="27"/>
  <c r="C111" i="27"/>
  <c r="M110" i="27"/>
  <c r="L110" i="27"/>
  <c r="K110" i="27"/>
  <c r="J110" i="27"/>
  <c r="I110" i="27"/>
  <c r="C110" i="27"/>
  <c r="M109" i="27"/>
  <c r="L109" i="27"/>
  <c r="K109" i="27"/>
  <c r="J109" i="27"/>
  <c r="H109" i="27"/>
  <c r="G109" i="27"/>
  <c r="K108" i="27"/>
  <c r="J108" i="27"/>
  <c r="K107" i="27"/>
  <c r="J107" i="27"/>
  <c r="K106" i="27"/>
  <c r="J106" i="27"/>
  <c r="K105" i="27"/>
  <c r="J105" i="27"/>
  <c r="K104" i="27"/>
  <c r="J104" i="27"/>
  <c r="K103" i="27"/>
  <c r="J103" i="27"/>
  <c r="K102" i="27"/>
  <c r="J102" i="27"/>
  <c r="K101" i="27"/>
  <c r="J101" i="27"/>
  <c r="K100" i="27"/>
  <c r="J100" i="27"/>
  <c r="K99" i="27"/>
  <c r="J99" i="27"/>
  <c r="K98" i="27"/>
  <c r="J98" i="27"/>
  <c r="C97" i="27"/>
  <c r="B97" i="27"/>
  <c r="I97" i="27" s="1"/>
  <c r="M96" i="27"/>
  <c r="L96" i="27"/>
  <c r="K96" i="27"/>
  <c r="J96" i="27"/>
  <c r="I96" i="27"/>
  <c r="C96" i="27"/>
  <c r="K95" i="27"/>
  <c r="J95" i="27"/>
  <c r="J86" i="27" s="1"/>
  <c r="I86" i="27"/>
  <c r="M94" i="27"/>
  <c r="L94" i="27"/>
  <c r="K94" i="27"/>
  <c r="J94" i="27"/>
  <c r="J93" i="27"/>
  <c r="J97" i="27" s="1"/>
  <c r="J92" i="27"/>
  <c r="C92" i="27"/>
  <c r="M91" i="27"/>
  <c r="L91" i="27"/>
  <c r="K91" i="27"/>
  <c r="J91" i="27"/>
  <c r="C91" i="27"/>
  <c r="J90" i="27"/>
  <c r="I90" i="27"/>
  <c r="F89" i="27"/>
  <c r="I89" i="27" s="1"/>
  <c r="E89" i="27"/>
  <c r="M88" i="27"/>
  <c r="L88" i="27"/>
  <c r="J88" i="27"/>
  <c r="I88" i="27"/>
  <c r="M87" i="27"/>
  <c r="L87" i="27"/>
  <c r="K87" i="27"/>
  <c r="J87" i="27"/>
  <c r="I87" i="27"/>
  <c r="C87" i="27"/>
  <c r="C86" i="27"/>
  <c r="J85" i="27"/>
  <c r="J84" i="27"/>
  <c r="C84" i="27"/>
  <c r="C90" i="27" s="1"/>
  <c r="M83" i="27"/>
  <c r="L83" i="27"/>
  <c r="K83" i="27"/>
  <c r="J83" i="27"/>
  <c r="I83" i="27"/>
  <c r="C83" i="27"/>
  <c r="K82" i="27"/>
  <c r="J82" i="27"/>
  <c r="K81" i="27"/>
  <c r="J81" i="27"/>
  <c r="K80" i="27"/>
  <c r="J80" i="27"/>
  <c r="L79" i="27"/>
  <c r="C79" i="27" s="1"/>
  <c r="M79" i="27" s="1"/>
  <c r="K79" i="27"/>
  <c r="J79" i="27"/>
  <c r="H79" i="27"/>
  <c r="G79" i="27"/>
  <c r="C78" i="27"/>
  <c r="B78" i="27"/>
  <c r="I78" i="27" s="1"/>
  <c r="M77" i="27"/>
  <c r="L77" i="27"/>
  <c r="K77" i="27"/>
  <c r="J77" i="27"/>
  <c r="I77" i="27"/>
  <c r="C77" i="27"/>
  <c r="K76" i="27"/>
  <c r="J76" i="27"/>
  <c r="J67" i="27" s="1"/>
  <c r="I67" i="27"/>
  <c r="M75" i="27"/>
  <c r="L75" i="27"/>
  <c r="K75" i="27"/>
  <c r="J75" i="27"/>
  <c r="J74" i="27"/>
  <c r="J78" i="27" s="1"/>
  <c r="J73" i="27"/>
  <c r="M72" i="27"/>
  <c r="L72" i="27"/>
  <c r="J72" i="27"/>
  <c r="J71" i="27"/>
  <c r="I71" i="27"/>
  <c r="F70" i="27"/>
  <c r="I70" i="27" s="1"/>
  <c r="E70" i="27"/>
  <c r="M69" i="27"/>
  <c r="L69" i="27"/>
  <c r="J69" i="27"/>
  <c r="I69" i="27"/>
  <c r="M68" i="27"/>
  <c r="L68" i="27"/>
  <c r="K68" i="27"/>
  <c r="J68" i="27"/>
  <c r="I68" i="27"/>
  <c r="C68" i="27"/>
  <c r="C67" i="27"/>
  <c r="J66" i="27"/>
  <c r="J65" i="27"/>
  <c r="C65" i="27"/>
  <c r="C73" i="27" s="1"/>
  <c r="M64" i="27"/>
  <c r="L64" i="27"/>
  <c r="K64" i="27"/>
  <c r="J64" i="27"/>
  <c r="I64" i="27"/>
  <c r="C64" i="27"/>
  <c r="M63" i="27"/>
  <c r="L63" i="27"/>
  <c r="K63" i="27"/>
  <c r="J63" i="27"/>
  <c r="I63" i="27"/>
  <c r="C63" i="27"/>
  <c r="K62" i="27"/>
  <c r="J62" i="27"/>
  <c r="F61" i="27"/>
  <c r="I61" i="27" s="1"/>
  <c r="E61" i="27"/>
  <c r="M60" i="27"/>
  <c r="L60" i="27"/>
  <c r="J60" i="27"/>
  <c r="I60" i="27"/>
  <c r="M59" i="27"/>
  <c r="L59" i="27"/>
  <c r="K59" i="27"/>
  <c r="J59" i="27"/>
  <c r="I59" i="27"/>
  <c r="C59" i="27"/>
  <c r="J57" i="27"/>
  <c r="M56" i="27"/>
  <c r="L56" i="27"/>
  <c r="K56" i="27"/>
  <c r="J56" i="27"/>
  <c r="I56" i="27"/>
  <c r="C56" i="27"/>
  <c r="M55" i="27"/>
  <c r="L55" i="27"/>
  <c r="K55" i="27"/>
  <c r="J55" i="27"/>
  <c r="H55" i="27"/>
  <c r="G55" i="27"/>
  <c r="K54" i="27"/>
  <c r="K53" i="27"/>
  <c r="J53" i="27"/>
  <c r="K52" i="27"/>
  <c r="J52" i="27"/>
  <c r="K51" i="27"/>
  <c r="K50" i="27"/>
  <c r="K49" i="27"/>
  <c r="J49" i="27"/>
  <c r="K48" i="27"/>
  <c r="K47" i="27"/>
  <c r="K46" i="27"/>
  <c r="J46" i="27"/>
  <c r="K45" i="27"/>
  <c r="K44" i="27"/>
  <c r="J44" i="27"/>
  <c r="J50" i="27" s="1"/>
  <c r="C43" i="27"/>
  <c r="B43" i="27"/>
  <c r="I43" i="27" s="1"/>
  <c r="M42" i="27"/>
  <c r="L42" i="27"/>
  <c r="K42" i="27"/>
  <c r="J42" i="27"/>
  <c r="I42" i="27"/>
  <c r="C42" i="27"/>
  <c r="K41" i="27"/>
  <c r="J41" i="27"/>
  <c r="J32" i="27" s="1"/>
  <c r="I32" i="27"/>
  <c r="M40" i="27"/>
  <c r="L40" i="27"/>
  <c r="K40" i="27"/>
  <c r="J40" i="27"/>
  <c r="J39" i="27"/>
  <c r="J43" i="27" s="1"/>
  <c r="J38" i="27"/>
  <c r="C38" i="27"/>
  <c r="M37" i="27"/>
  <c r="L37" i="27"/>
  <c r="J37" i="27"/>
  <c r="C37" i="27"/>
  <c r="J36" i="27"/>
  <c r="I36" i="27"/>
  <c r="F35" i="27"/>
  <c r="I35" i="27" s="1"/>
  <c r="E35" i="27"/>
  <c r="M34" i="27"/>
  <c r="L34" i="27"/>
  <c r="J34" i="27"/>
  <c r="I34" i="27"/>
  <c r="M33" i="27"/>
  <c r="L33" i="27"/>
  <c r="K33" i="27"/>
  <c r="J33" i="27"/>
  <c r="I33" i="27"/>
  <c r="C33" i="27"/>
  <c r="J31" i="27"/>
  <c r="J30" i="27"/>
  <c r="C30" i="27"/>
  <c r="C36" i="27" s="1"/>
  <c r="M29" i="27"/>
  <c r="L29" i="27"/>
  <c r="K29" i="27"/>
  <c r="J29" i="27"/>
  <c r="I29" i="27"/>
  <c r="C29" i="27"/>
  <c r="M28" i="27"/>
  <c r="L28" i="27"/>
  <c r="K28" i="27"/>
  <c r="J28" i="27"/>
  <c r="I28" i="27"/>
  <c r="C28" i="27"/>
  <c r="K27" i="27"/>
  <c r="J27" i="27"/>
  <c r="F26" i="27"/>
  <c r="I26" i="27" s="1"/>
  <c r="E26" i="27"/>
  <c r="M25" i="27"/>
  <c r="L25" i="27"/>
  <c r="J25" i="27"/>
  <c r="I25" i="27"/>
  <c r="M24" i="27"/>
  <c r="L24" i="27"/>
  <c r="K24" i="27"/>
  <c r="J24" i="27"/>
  <c r="I24" i="27"/>
  <c r="C24" i="27"/>
  <c r="J22" i="27"/>
  <c r="M21" i="27"/>
  <c r="L21" i="27"/>
  <c r="K21" i="27"/>
  <c r="J21" i="27"/>
  <c r="I21" i="27"/>
  <c r="C21" i="27"/>
  <c r="K20" i="27"/>
  <c r="K19" i="27"/>
  <c r="K18" i="27"/>
  <c r="K17" i="27"/>
  <c r="K16" i="27"/>
  <c r="J16" i="27"/>
  <c r="C15" i="27"/>
  <c r="B15" i="27"/>
  <c r="I15" i="27" s="1"/>
  <c r="M14" i="27"/>
  <c r="L14" i="27"/>
  <c r="K14" i="27"/>
  <c r="J14" i="27"/>
  <c r="I14" i="27"/>
  <c r="C14" i="27"/>
  <c r="K13" i="27"/>
  <c r="J13" i="27"/>
  <c r="J5" i="27" s="1"/>
  <c r="I5" i="27"/>
  <c r="M12" i="27"/>
  <c r="L12" i="27"/>
  <c r="K12" i="27"/>
  <c r="J12" i="27"/>
  <c r="J11" i="27"/>
  <c r="J15" i="27" s="1"/>
  <c r="M10" i="27"/>
  <c r="L10" i="27"/>
  <c r="K10" i="27"/>
  <c r="J10" i="27"/>
  <c r="J9" i="27"/>
  <c r="I9" i="27"/>
  <c r="F8" i="27"/>
  <c r="I8" i="27" s="1"/>
  <c r="E8" i="27"/>
  <c r="M7" i="27"/>
  <c r="L7" i="27"/>
  <c r="J7" i="27"/>
  <c r="I7" i="27"/>
  <c r="M6" i="27"/>
  <c r="L6" i="27"/>
  <c r="K6" i="27"/>
  <c r="J6" i="27"/>
  <c r="I6" i="27"/>
  <c r="C6" i="27"/>
  <c r="C5" i="27"/>
  <c r="J4" i="27"/>
  <c r="J3" i="27"/>
  <c r="C3" i="27"/>
  <c r="C9" i="27" s="1"/>
  <c r="H423" i="14"/>
  <c r="H422" i="14"/>
  <c r="H421" i="14"/>
  <c r="H420" i="14"/>
  <c r="H419" i="14"/>
  <c r="H418" i="14"/>
  <c r="H417" i="14"/>
  <c r="H416" i="14"/>
  <c r="H415" i="14"/>
  <c r="H414" i="14"/>
  <c r="H413" i="14"/>
  <c r="H412" i="14"/>
  <c r="H411" i="14"/>
  <c r="H410" i="14"/>
  <c r="H409" i="14"/>
  <c r="H408" i="14"/>
  <c r="H407" i="14"/>
  <c r="H406" i="14"/>
  <c r="C406" i="14"/>
  <c r="H405" i="14"/>
  <c r="H404" i="14"/>
  <c r="H403" i="14"/>
  <c r="H402" i="14"/>
  <c r="H401" i="14"/>
  <c r="H400" i="14"/>
  <c r="H399" i="14"/>
  <c r="H398" i="14"/>
  <c r="H397" i="14"/>
  <c r="H396" i="14"/>
  <c r="H395" i="14"/>
  <c r="H394" i="14"/>
  <c r="H393" i="14"/>
  <c r="H392" i="14"/>
  <c r="H391" i="14"/>
  <c r="C391" i="14"/>
  <c r="H390" i="14"/>
  <c r="H389" i="14"/>
  <c r="H388" i="14"/>
  <c r="H387" i="14"/>
  <c r="H386" i="14"/>
  <c r="C386" i="14"/>
  <c r="H385" i="14"/>
  <c r="H384" i="14"/>
  <c r="H383" i="14"/>
  <c r="H382" i="14"/>
  <c r="H381" i="14"/>
  <c r="H380" i="14"/>
  <c r="H379" i="14"/>
  <c r="H378" i="14"/>
  <c r="H377" i="14"/>
  <c r="H376" i="14"/>
  <c r="H375" i="14"/>
  <c r="H374" i="14"/>
  <c r="H373" i="14"/>
  <c r="H372" i="14"/>
  <c r="H371" i="14"/>
  <c r="H370" i="14"/>
  <c r="H369" i="14"/>
  <c r="H368" i="14"/>
  <c r="H367" i="14"/>
  <c r="H366" i="14"/>
  <c r="H365" i="14"/>
  <c r="H364" i="14"/>
  <c r="H363" i="14"/>
  <c r="H362" i="14"/>
  <c r="H361" i="14"/>
  <c r="C361" i="14"/>
  <c r="H360" i="14"/>
  <c r="H359" i="14"/>
  <c r="H358" i="14"/>
  <c r="H357" i="14"/>
  <c r="H356" i="14"/>
  <c r="H355" i="14"/>
  <c r="H354" i="14"/>
  <c r="H353" i="14"/>
  <c r="H352" i="14"/>
  <c r="H351" i="14"/>
  <c r="H350" i="14"/>
  <c r="C350" i="14"/>
  <c r="H349" i="14"/>
  <c r="H348" i="14"/>
  <c r="H347" i="14"/>
  <c r="H346" i="14"/>
  <c r="H345" i="14"/>
  <c r="C345" i="14"/>
  <c r="H344" i="14"/>
  <c r="H343" i="14"/>
  <c r="H342" i="14"/>
  <c r="H341" i="14"/>
  <c r="H340" i="14"/>
  <c r="H339" i="14"/>
  <c r="H338" i="14"/>
  <c r="H337" i="14"/>
  <c r="H336" i="14"/>
  <c r="H335" i="14"/>
  <c r="H334" i="14"/>
  <c r="H333" i="14"/>
  <c r="H332" i="14"/>
  <c r="H331" i="14"/>
  <c r="H330" i="14"/>
  <c r="H329" i="14"/>
  <c r="H328" i="14"/>
  <c r="H327" i="14"/>
  <c r="H326" i="14"/>
  <c r="H325" i="14"/>
  <c r="H324" i="14"/>
  <c r="H323" i="14"/>
  <c r="H322" i="14"/>
  <c r="H321" i="14"/>
  <c r="H320" i="14"/>
  <c r="H319" i="14"/>
  <c r="H318" i="14"/>
  <c r="H317" i="14"/>
  <c r="H316" i="14"/>
  <c r="H315" i="14"/>
  <c r="H314" i="14"/>
  <c r="H313" i="14"/>
  <c r="H312" i="14"/>
  <c r="H311" i="14"/>
  <c r="H310" i="14"/>
  <c r="H309" i="14"/>
  <c r="H308" i="14"/>
  <c r="H307" i="14"/>
  <c r="H306" i="14"/>
  <c r="H305" i="14"/>
  <c r="H304" i="14"/>
  <c r="H303" i="14"/>
  <c r="C303" i="14"/>
  <c r="H302" i="14"/>
  <c r="H301" i="14"/>
  <c r="C301" i="14"/>
  <c r="H300" i="14"/>
  <c r="H299" i="14"/>
  <c r="H298" i="14"/>
  <c r="H297" i="14"/>
  <c r="H296" i="14"/>
  <c r="H295" i="14"/>
  <c r="H294" i="14"/>
  <c r="H293" i="14"/>
  <c r="H292" i="14"/>
  <c r="H291" i="14"/>
  <c r="H290" i="14"/>
  <c r="H289" i="14"/>
  <c r="H288" i="14"/>
  <c r="H287" i="14"/>
  <c r="H286" i="14"/>
  <c r="C286" i="14"/>
  <c r="H285" i="14"/>
  <c r="H284" i="14"/>
  <c r="H283" i="14"/>
  <c r="H282" i="14"/>
  <c r="H281" i="14"/>
  <c r="H280" i="14"/>
  <c r="C280" i="14"/>
  <c r="H279" i="14"/>
  <c r="C279" i="14"/>
  <c r="H278" i="14"/>
  <c r="H277" i="14"/>
  <c r="H276" i="14"/>
  <c r="H275" i="14"/>
  <c r="H274" i="14"/>
  <c r="H273" i="14"/>
  <c r="H272" i="14"/>
  <c r="H271" i="14"/>
  <c r="H270" i="14"/>
  <c r="H269" i="14"/>
  <c r="H268" i="14"/>
  <c r="H267" i="14"/>
  <c r="H266" i="14"/>
  <c r="C266" i="14"/>
  <c r="H265" i="14"/>
  <c r="H264" i="14"/>
  <c r="H263" i="14"/>
  <c r="H262" i="14"/>
  <c r="H261" i="14"/>
  <c r="H260" i="14"/>
  <c r="H259" i="14"/>
  <c r="H258" i="14"/>
  <c r="H257" i="14"/>
  <c r="H256" i="14"/>
  <c r="H255" i="14"/>
  <c r="H254" i="14"/>
  <c r="H253" i="14"/>
  <c r="H252" i="14"/>
  <c r="H251" i="14"/>
  <c r="H250" i="14"/>
  <c r="H249" i="14"/>
  <c r="H248" i="14"/>
  <c r="H247" i="14"/>
  <c r="H246" i="14"/>
  <c r="H245" i="14"/>
  <c r="H244" i="14"/>
  <c r="H243" i="14"/>
  <c r="H242" i="14"/>
  <c r="H241" i="14"/>
  <c r="H240" i="14"/>
  <c r="H239" i="14"/>
  <c r="H238" i="14"/>
  <c r="H237" i="14"/>
  <c r="H236" i="14"/>
  <c r="H235" i="14"/>
  <c r="H234" i="14"/>
  <c r="C234" i="14"/>
  <c r="H233" i="14"/>
  <c r="H232" i="14"/>
  <c r="H231" i="14"/>
  <c r="H230" i="14"/>
  <c r="H229" i="14"/>
  <c r="H228" i="14"/>
  <c r="H227" i="14"/>
  <c r="H226" i="14"/>
  <c r="H225" i="14"/>
  <c r="H224" i="14"/>
  <c r="H223" i="14"/>
  <c r="H222" i="14"/>
  <c r="H221" i="14"/>
  <c r="H220" i="14"/>
  <c r="H219" i="14"/>
  <c r="N218" i="14"/>
  <c r="H218" i="14"/>
  <c r="K196" i="14"/>
  <c r="K195" i="14"/>
  <c r="K194" i="14"/>
  <c r="K193" i="14"/>
  <c r="K192" i="14"/>
  <c r="K191" i="14"/>
  <c r="K190" i="14"/>
  <c r="H190" i="14"/>
  <c r="G190" i="14"/>
  <c r="K189" i="14"/>
  <c r="K188" i="14"/>
  <c r="K187" i="14"/>
  <c r="K186" i="14"/>
  <c r="K185" i="14"/>
  <c r="M184" i="14"/>
  <c r="K184" i="14"/>
  <c r="M183" i="14"/>
  <c r="K183" i="14"/>
  <c r="M182" i="14"/>
  <c r="K182" i="14"/>
  <c r="P181" i="14"/>
  <c r="M181" i="14"/>
  <c r="K181" i="14"/>
  <c r="P180" i="14"/>
  <c r="O180" i="14"/>
  <c r="N180" i="14"/>
  <c r="M180" i="14"/>
  <c r="K180" i="14"/>
  <c r="P179" i="14"/>
  <c r="O179" i="14"/>
  <c r="N179" i="14"/>
  <c r="M179" i="14"/>
  <c r="K179" i="14"/>
  <c r="T178" i="14"/>
  <c r="P178" i="14"/>
  <c r="O178" i="14"/>
  <c r="N178" i="14"/>
  <c r="M178" i="14"/>
  <c r="K178" i="14"/>
  <c r="T177" i="14"/>
  <c r="P177" i="14"/>
  <c r="O177" i="14"/>
  <c r="N177" i="14"/>
  <c r="C163" i="14"/>
  <c r="C162" i="14"/>
  <c r="C160" i="14"/>
  <c r="C148" i="14"/>
  <c r="C143" i="14"/>
  <c r="C126" i="14"/>
  <c r="H118" i="14"/>
  <c r="C111" i="14"/>
  <c r="C110" i="14"/>
  <c r="C103" i="14"/>
  <c r="Y90" i="14"/>
  <c r="M81" i="14"/>
  <c r="M80" i="14"/>
  <c r="N80" i="14" s="1"/>
  <c r="N79" i="14"/>
  <c r="I79" i="14"/>
  <c r="G79" i="14"/>
  <c r="I78" i="14"/>
  <c r="G78" i="14"/>
  <c r="N77" i="14"/>
  <c r="I77" i="14"/>
  <c r="G77" i="14"/>
  <c r="I76" i="14"/>
  <c r="G76" i="14"/>
  <c r="I75" i="14"/>
  <c r="G75" i="14"/>
  <c r="I74" i="14"/>
  <c r="G74" i="14"/>
  <c r="I73" i="14"/>
  <c r="G73" i="14"/>
  <c r="I71" i="14"/>
  <c r="I72" i="14" s="1"/>
  <c r="H71" i="14"/>
  <c r="H72" i="14" s="1"/>
  <c r="G71" i="14"/>
  <c r="G72" i="14" s="1"/>
  <c r="E71" i="14"/>
  <c r="E72" i="14" s="1"/>
  <c r="C71" i="14"/>
  <c r="C72" i="14" s="1"/>
  <c r="I70" i="14"/>
  <c r="G70" i="14"/>
  <c r="I68" i="14"/>
  <c r="H68" i="14"/>
  <c r="G68" i="14"/>
  <c r="E68" i="14"/>
  <c r="C68" i="14"/>
  <c r="I67" i="14"/>
  <c r="H67" i="14"/>
  <c r="G67" i="14"/>
  <c r="E67" i="14"/>
  <c r="C67" i="14"/>
  <c r="I66" i="14"/>
  <c r="H66" i="14"/>
  <c r="G66" i="14"/>
  <c r="E66" i="14"/>
  <c r="C66" i="14"/>
  <c r="P65" i="14"/>
  <c r="O65" i="14"/>
  <c r="J65" i="14"/>
  <c r="I65" i="14"/>
  <c r="H65" i="14"/>
  <c r="G65" i="14"/>
  <c r="F65" i="14"/>
  <c r="E65" i="14"/>
  <c r="D65" i="14"/>
  <c r="C65" i="14"/>
  <c r="J64" i="14"/>
  <c r="I64" i="14"/>
  <c r="H64" i="14"/>
  <c r="G64" i="14"/>
  <c r="F64" i="14"/>
  <c r="E64" i="14"/>
  <c r="D64" i="14"/>
  <c r="C64" i="14"/>
  <c r="M37" i="14"/>
  <c r="M36" i="14"/>
  <c r="J35" i="14"/>
  <c r="I35" i="14"/>
  <c r="H35" i="14"/>
  <c r="G35" i="14"/>
  <c r="C76" i="27" s="1"/>
  <c r="D77" i="27" s="1"/>
  <c r="G77" i="27" s="1"/>
  <c r="F35" i="14"/>
  <c r="C62" i="27" s="1"/>
  <c r="D63" i="27" s="1"/>
  <c r="G63" i="27" s="1"/>
  <c r="E35" i="14"/>
  <c r="C41" i="27" s="1"/>
  <c r="D42" i="27" s="1"/>
  <c r="G42" i="27" s="1"/>
  <c r="D35" i="14"/>
  <c r="C27" i="27" s="1"/>
  <c r="D28" i="27" s="1"/>
  <c r="G28" i="27" s="1"/>
  <c r="C35" i="14"/>
  <c r="E5" i="1" s="1"/>
  <c r="J34" i="14"/>
  <c r="I34" i="14"/>
  <c r="H34" i="14"/>
  <c r="G34" i="14"/>
  <c r="F34" i="14"/>
  <c r="E34" i="14"/>
  <c r="D34" i="14"/>
  <c r="C34" i="14"/>
  <c r="P33" i="14"/>
  <c r="O33" i="14"/>
  <c r="I31" i="14"/>
  <c r="G22" i="22" s="1"/>
  <c r="H31" i="14"/>
  <c r="D15" i="21" s="1"/>
  <c r="G31" i="14"/>
  <c r="G22" i="20" s="1"/>
  <c r="E31" i="14"/>
  <c r="C31" i="14"/>
  <c r="G21" i="1" s="1"/>
  <c r="H24" i="14"/>
  <c r="F35" i="21" s="1"/>
  <c r="E24" i="14"/>
  <c r="G35" i="5" s="1"/>
  <c r="M23" i="14"/>
  <c r="N23" i="14" s="1"/>
  <c r="M22" i="14"/>
  <c r="M21" i="14"/>
  <c r="M20" i="14"/>
  <c r="N20" i="14" s="1"/>
  <c r="M19" i="14"/>
  <c r="N19" i="14" s="1"/>
  <c r="M18" i="14"/>
  <c r="N18" i="14" s="1"/>
  <c r="M17" i="14"/>
  <c r="M16" i="14"/>
  <c r="M15" i="14"/>
  <c r="M14" i="14"/>
  <c r="M13" i="14"/>
  <c r="I11" i="14"/>
  <c r="G11" i="14"/>
  <c r="J10" i="14"/>
  <c r="I10" i="14"/>
  <c r="H10" i="14"/>
  <c r="G10" i="14"/>
  <c r="F10" i="14"/>
  <c r="E10" i="14"/>
  <c r="D10" i="14"/>
  <c r="C10" i="14"/>
  <c r="J9" i="14"/>
  <c r="I9" i="14"/>
  <c r="H9" i="14"/>
  <c r="G9" i="14"/>
  <c r="F9" i="14"/>
  <c r="E9" i="14"/>
  <c r="D9" i="14"/>
  <c r="C9" i="14"/>
  <c r="G28" i="23"/>
  <c r="E27" i="23"/>
  <c r="G25" i="23"/>
  <c r="C18" i="23"/>
  <c r="C17" i="23"/>
  <c r="G15" i="23"/>
  <c r="D14" i="23"/>
  <c r="C13" i="23"/>
  <c r="G11" i="23"/>
  <c r="J10" i="23"/>
  <c r="C9" i="23"/>
  <c r="J8" i="23"/>
  <c r="F8" i="23"/>
  <c r="C8" i="23"/>
  <c r="C7" i="23"/>
  <c r="F6" i="23"/>
  <c r="C6" i="23"/>
  <c r="F5" i="23"/>
  <c r="C5" i="23"/>
  <c r="C4" i="23"/>
  <c r="I3" i="23"/>
  <c r="H3" i="23"/>
  <c r="G3" i="23"/>
  <c r="E3" i="23"/>
  <c r="C2" i="23"/>
  <c r="A2" i="23"/>
  <c r="J1" i="23"/>
  <c r="E13" i="18"/>
  <c r="G11" i="18"/>
  <c r="J10" i="18"/>
  <c r="C9" i="18"/>
  <c r="J8" i="18"/>
  <c r="F8" i="18"/>
  <c r="C8" i="18"/>
  <c r="C7" i="18"/>
  <c r="F6" i="18"/>
  <c r="C6" i="18"/>
  <c r="F5" i="18"/>
  <c r="C5" i="18"/>
  <c r="C4" i="18"/>
  <c r="I3" i="18"/>
  <c r="H3" i="18"/>
  <c r="G3" i="18"/>
  <c r="E3" i="18"/>
  <c r="C2" i="18"/>
  <c r="A2" i="18"/>
  <c r="J1" i="18"/>
  <c r="E31" i="1"/>
  <c r="G29" i="1"/>
  <c r="D27" i="1"/>
  <c r="G26" i="1"/>
  <c r="L19" i="27" s="1"/>
  <c r="D26" i="1"/>
  <c r="G25" i="1"/>
  <c r="L18" i="27" s="1"/>
  <c r="D25" i="1"/>
  <c r="C25" i="1"/>
  <c r="D24" i="1"/>
  <c r="A24" i="1"/>
  <c r="G23" i="1"/>
  <c r="D23" i="1"/>
  <c r="G22" i="1"/>
  <c r="C22" i="1"/>
  <c r="E21" i="1"/>
  <c r="I10" i="27" s="1"/>
  <c r="D21" i="1"/>
  <c r="D17" i="1"/>
  <c r="C17" i="1"/>
  <c r="C16" i="1"/>
  <c r="G15" i="1"/>
  <c r="C15" i="1"/>
  <c r="D14" i="1"/>
  <c r="C14" i="1"/>
  <c r="A14" i="1"/>
  <c r="C13" i="1"/>
  <c r="G11" i="1"/>
  <c r="J10" i="1"/>
  <c r="C9" i="1"/>
  <c r="J8" i="1"/>
  <c r="F8" i="1"/>
  <c r="C8" i="1"/>
  <c r="C7" i="1"/>
  <c r="F6" i="1"/>
  <c r="C6" i="1"/>
  <c r="F5" i="1"/>
  <c r="C5" i="1"/>
  <c r="C4" i="1"/>
  <c r="I3" i="1"/>
  <c r="H3" i="1"/>
  <c r="G3" i="1"/>
  <c r="E3" i="1"/>
  <c r="C2" i="1"/>
  <c r="A2" i="1"/>
  <c r="J1" i="1"/>
  <c r="G31" i="22"/>
  <c r="E30" i="22"/>
  <c r="G28" i="22"/>
  <c r="D26" i="22"/>
  <c r="D25" i="22"/>
  <c r="C25" i="22"/>
  <c r="D24" i="22"/>
  <c r="A24" i="22"/>
  <c r="G23" i="22"/>
  <c r="C23" i="22"/>
  <c r="E22" i="22"/>
  <c r="I118" i="27" s="1"/>
  <c r="D22" i="22"/>
  <c r="D21" i="22"/>
  <c r="I119" i="27" s="1"/>
  <c r="C21" i="22"/>
  <c r="D17" i="22"/>
  <c r="C17" i="22"/>
  <c r="C16" i="22"/>
  <c r="G15" i="22"/>
  <c r="C15" i="22"/>
  <c r="D14" i="22"/>
  <c r="C14" i="22"/>
  <c r="A14" i="22"/>
  <c r="C13" i="22"/>
  <c r="G11" i="22"/>
  <c r="J10" i="22"/>
  <c r="C9" i="22"/>
  <c r="J8" i="22"/>
  <c r="F8" i="22"/>
  <c r="C8" i="22"/>
  <c r="C7" i="22"/>
  <c r="F6" i="22"/>
  <c r="C6" i="22"/>
  <c r="F5" i="22"/>
  <c r="C5" i="22"/>
  <c r="C4" i="22"/>
  <c r="I3" i="22"/>
  <c r="H3" i="22"/>
  <c r="G3" i="22"/>
  <c r="E3" i="22"/>
  <c r="C2" i="22"/>
  <c r="A2" i="22"/>
  <c r="J1" i="22"/>
  <c r="G31" i="20"/>
  <c r="E30" i="20"/>
  <c r="G28" i="20"/>
  <c r="D26" i="20"/>
  <c r="I82" i="27" s="1"/>
  <c r="D25" i="20"/>
  <c r="I81" i="27" s="1"/>
  <c r="C25" i="20"/>
  <c r="D24" i="20"/>
  <c r="I80" i="27" s="1"/>
  <c r="A24" i="20"/>
  <c r="G23" i="20"/>
  <c r="C23" i="20"/>
  <c r="E22" i="20"/>
  <c r="I72" i="27" s="1"/>
  <c r="D22" i="20"/>
  <c r="D21" i="20"/>
  <c r="I73" i="27" s="1"/>
  <c r="C21" i="20"/>
  <c r="D17" i="20"/>
  <c r="C17" i="20"/>
  <c r="C16" i="20"/>
  <c r="G15" i="20"/>
  <c r="C15" i="20"/>
  <c r="D14" i="20"/>
  <c r="C14" i="20"/>
  <c r="A14" i="20"/>
  <c r="C13" i="20"/>
  <c r="G11" i="20"/>
  <c r="J10" i="20"/>
  <c r="C9" i="20"/>
  <c r="J8" i="20"/>
  <c r="F8" i="20"/>
  <c r="C8" i="20"/>
  <c r="C7" i="20"/>
  <c r="F6" i="20"/>
  <c r="C6" i="20"/>
  <c r="F5" i="20"/>
  <c r="C5" i="20"/>
  <c r="C4" i="20"/>
  <c r="I3" i="20"/>
  <c r="H3" i="20"/>
  <c r="G3" i="20"/>
  <c r="E3" i="20"/>
  <c r="C2" i="20"/>
  <c r="A2" i="20"/>
  <c r="J1" i="20"/>
  <c r="G37" i="21"/>
  <c r="B36" i="21"/>
  <c r="E35" i="21"/>
  <c r="D34" i="21"/>
  <c r="D33" i="21"/>
  <c r="J32" i="21"/>
  <c r="D32" i="21"/>
  <c r="J31" i="21"/>
  <c r="D31" i="21"/>
  <c r="J30" i="21"/>
  <c r="D30" i="21"/>
  <c r="D29" i="21"/>
  <c r="C29" i="21"/>
  <c r="D28" i="21"/>
  <c r="D27" i="21"/>
  <c r="J26" i="21"/>
  <c r="D26" i="21"/>
  <c r="J25" i="21"/>
  <c r="D25" i="21"/>
  <c r="D24" i="21"/>
  <c r="C24" i="21"/>
  <c r="A24" i="21"/>
  <c r="G23" i="21"/>
  <c r="D23" i="21"/>
  <c r="C23" i="21"/>
  <c r="G22" i="21"/>
  <c r="C22" i="21"/>
  <c r="D21" i="21"/>
  <c r="I92" i="27" s="1"/>
  <c r="C21" i="21"/>
  <c r="D17" i="21"/>
  <c r="C17" i="21"/>
  <c r="C16" i="21"/>
  <c r="G15" i="21"/>
  <c r="C15" i="21"/>
  <c r="D14" i="21"/>
  <c r="C14" i="21"/>
  <c r="A14" i="21"/>
  <c r="C13" i="21"/>
  <c r="G11" i="21"/>
  <c r="J10" i="21"/>
  <c r="C9" i="21"/>
  <c r="J8" i="21"/>
  <c r="F8" i="21"/>
  <c r="C8" i="21"/>
  <c r="C7" i="21"/>
  <c r="F6" i="21"/>
  <c r="C6" i="21"/>
  <c r="F5" i="21"/>
  <c r="C5" i="21"/>
  <c r="C4" i="21"/>
  <c r="I3" i="21"/>
  <c r="H3" i="21"/>
  <c r="G3" i="21"/>
  <c r="E3" i="21"/>
  <c r="C2" i="21"/>
  <c r="A2" i="21"/>
  <c r="J1" i="21"/>
  <c r="E13" i="19"/>
  <c r="G11" i="19"/>
  <c r="J10" i="19"/>
  <c r="C9" i="19"/>
  <c r="J8" i="19"/>
  <c r="F8" i="19"/>
  <c r="C8" i="19"/>
  <c r="C7" i="19"/>
  <c r="F6" i="19"/>
  <c r="C6" i="19"/>
  <c r="F5" i="19"/>
  <c r="C5" i="19"/>
  <c r="C4" i="19"/>
  <c r="I3" i="19"/>
  <c r="H3" i="19"/>
  <c r="G3" i="19"/>
  <c r="E3" i="19"/>
  <c r="C2" i="19"/>
  <c r="A2" i="19"/>
  <c r="J1" i="19"/>
  <c r="G37" i="5"/>
  <c r="B36" i="5"/>
  <c r="E35" i="5"/>
  <c r="D34" i="5"/>
  <c r="D33" i="5"/>
  <c r="J32" i="5"/>
  <c r="D32" i="5"/>
  <c r="J31" i="5"/>
  <c r="D31" i="5"/>
  <c r="J30" i="5"/>
  <c r="D30" i="5"/>
  <c r="D29" i="5"/>
  <c r="C29" i="5"/>
  <c r="D28" i="5"/>
  <c r="D27" i="5"/>
  <c r="J26" i="5"/>
  <c r="D26" i="5"/>
  <c r="J25" i="5"/>
  <c r="D25" i="5"/>
  <c r="D24" i="5"/>
  <c r="C24" i="5"/>
  <c r="A24" i="5"/>
  <c r="G23" i="5"/>
  <c r="D23" i="5"/>
  <c r="C23" i="5"/>
  <c r="G22" i="5"/>
  <c r="C22" i="5"/>
  <c r="D21" i="5"/>
  <c r="I38" i="27" s="1"/>
  <c r="C21" i="5"/>
  <c r="D17" i="5"/>
  <c r="C17" i="5"/>
  <c r="C16" i="5"/>
  <c r="G15" i="5"/>
  <c r="C15" i="5"/>
  <c r="D14" i="5"/>
  <c r="C14" i="5"/>
  <c r="A14" i="5"/>
  <c r="C13" i="5"/>
  <c r="G11" i="5"/>
  <c r="J10" i="5"/>
  <c r="C9" i="5"/>
  <c r="J8" i="5"/>
  <c r="F8" i="5"/>
  <c r="C8" i="5"/>
  <c r="C7" i="5"/>
  <c r="F6" i="5"/>
  <c r="C6" i="5"/>
  <c r="F5" i="5"/>
  <c r="C5" i="5"/>
  <c r="C4" i="5"/>
  <c r="I3" i="5"/>
  <c r="H3" i="5"/>
  <c r="G3" i="5"/>
  <c r="E3" i="5"/>
  <c r="C2" i="5"/>
  <c r="A2" i="5"/>
  <c r="J1" i="5"/>
  <c r="G27" i="1"/>
  <c r="L20" i="27" s="1"/>
  <c r="K92" i="27"/>
  <c r="M426" i="35"/>
  <c r="L424" i="35"/>
  <c r="J424" i="35"/>
  <c r="H424" i="35"/>
  <c r="E424" i="35"/>
  <c r="D424" i="35"/>
  <c r="C424" i="35"/>
  <c r="H423" i="35"/>
  <c r="C423" i="35"/>
  <c r="K422" i="35"/>
  <c r="H422" i="35"/>
  <c r="C422" i="35"/>
  <c r="M420" i="35"/>
  <c r="M419" i="35"/>
  <c r="M418" i="35"/>
  <c r="M417" i="35"/>
  <c r="M416" i="35"/>
  <c r="L414" i="35"/>
  <c r="J414" i="35"/>
  <c r="H414" i="35"/>
  <c r="E414" i="35"/>
  <c r="D414" i="35"/>
  <c r="C414" i="35"/>
  <c r="H413" i="35"/>
  <c r="C413" i="35"/>
  <c r="K412" i="35"/>
  <c r="H412" i="35"/>
  <c r="C412" i="35"/>
  <c r="G381" i="35"/>
  <c r="B381" i="35"/>
  <c r="A381" i="35"/>
  <c r="I378" i="35"/>
  <c r="F378" i="35"/>
  <c r="D377" i="35"/>
  <c r="C377" i="35"/>
  <c r="H379" i="35" s="1"/>
  <c r="I374" i="35"/>
  <c r="F374" i="35"/>
  <c r="D373" i="35"/>
  <c r="C373" i="35"/>
  <c r="F375" i="35" s="1"/>
  <c r="I370" i="35"/>
  <c r="F370" i="35"/>
  <c r="D369" i="35"/>
  <c r="C369" i="35"/>
  <c r="F369" i="35" s="1"/>
  <c r="I366" i="35"/>
  <c r="F366" i="35"/>
  <c r="D365" i="35"/>
  <c r="C365" i="35"/>
  <c r="H367" i="35" s="1"/>
  <c r="I362" i="35"/>
  <c r="F362" i="35"/>
  <c r="D361" i="35"/>
  <c r="C361" i="35"/>
  <c r="G363" i="35" s="1"/>
  <c r="K359" i="35"/>
  <c r="I359" i="35"/>
  <c r="C359" i="35"/>
  <c r="K358" i="35"/>
  <c r="H358" i="35"/>
  <c r="C358" i="35"/>
  <c r="I355" i="35"/>
  <c r="D354" i="35"/>
  <c r="C354" i="35"/>
  <c r="K352" i="35"/>
  <c r="I352" i="35"/>
  <c r="C352" i="35"/>
  <c r="K351" i="35"/>
  <c r="H351" i="35"/>
  <c r="C351" i="35"/>
  <c r="I348" i="35"/>
  <c r="D347" i="35"/>
  <c r="C347" i="35"/>
  <c r="K345" i="35"/>
  <c r="I345" i="35"/>
  <c r="C345" i="35"/>
  <c r="K344" i="35"/>
  <c r="H344" i="35"/>
  <c r="C344" i="35"/>
  <c r="I341" i="35"/>
  <c r="D340" i="35"/>
  <c r="C340" i="35"/>
  <c r="K338" i="35"/>
  <c r="I338" i="35"/>
  <c r="C338" i="35"/>
  <c r="K337" i="35"/>
  <c r="H337" i="35"/>
  <c r="C337" i="35"/>
  <c r="I334" i="35"/>
  <c r="D333" i="35"/>
  <c r="C333" i="35"/>
  <c r="K331" i="35"/>
  <c r="I331" i="35"/>
  <c r="C331" i="35"/>
  <c r="K330" i="35"/>
  <c r="H330" i="35"/>
  <c r="C330" i="35"/>
  <c r="I327" i="35"/>
  <c r="D326" i="35"/>
  <c r="C326" i="35"/>
  <c r="I323" i="35"/>
  <c r="F323" i="35"/>
  <c r="D322" i="35"/>
  <c r="C322" i="35"/>
  <c r="E324" i="35" s="1"/>
  <c r="I319" i="35"/>
  <c r="F319" i="35"/>
  <c r="D318" i="35"/>
  <c r="C318" i="35"/>
  <c r="G320" i="35" s="1"/>
  <c r="I315" i="35"/>
  <c r="F315" i="35"/>
  <c r="D314" i="35"/>
  <c r="C314" i="35"/>
  <c r="F316" i="35" s="1"/>
  <c r="I311" i="35"/>
  <c r="F311" i="35"/>
  <c r="D310" i="35"/>
  <c r="C310" i="35"/>
  <c r="I307" i="35"/>
  <c r="F307" i="35"/>
  <c r="D306" i="35"/>
  <c r="C306" i="35"/>
  <c r="C308" i="35" s="1"/>
  <c r="K304" i="35"/>
  <c r="I304" i="35"/>
  <c r="C304" i="35"/>
  <c r="K303" i="35"/>
  <c r="H303" i="35"/>
  <c r="C303" i="35"/>
  <c r="I300" i="35"/>
  <c r="D299" i="35"/>
  <c r="C299" i="35"/>
  <c r="K297" i="35"/>
  <c r="I297" i="35"/>
  <c r="C297" i="35"/>
  <c r="K296" i="35"/>
  <c r="H296" i="35"/>
  <c r="C296" i="35"/>
  <c r="I293" i="35"/>
  <c r="D292" i="35"/>
  <c r="C292" i="35"/>
  <c r="K290" i="35"/>
  <c r="I290" i="35"/>
  <c r="C290" i="35"/>
  <c r="K289" i="35"/>
  <c r="H289" i="35"/>
  <c r="C289" i="35"/>
  <c r="I286" i="35"/>
  <c r="D285" i="35"/>
  <c r="C285" i="35"/>
  <c r="K283" i="35"/>
  <c r="I283" i="35"/>
  <c r="C283" i="35"/>
  <c r="K282" i="35"/>
  <c r="H282" i="35"/>
  <c r="C282" i="35"/>
  <c r="I279" i="35"/>
  <c r="D278" i="35"/>
  <c r="C278" i="35"/>
  <c r="K276" i="35"/>
  <c r="I276" i="35"/>
  <c r="C276" i="35"/>
  <c r="K275" i="35"/>
  <c r="H275" i="35"/>
  <c r="C275" i="35"/>
  <c r="I272" i="35"/>
  <c r="D271" i="35"/>
  <c r="C271" i="35"/>
  <c r="I268" i="35"/>
  <c r="D267" i="35"/>
  <c r="C267" i="35"/>
  <c r="I264" i="35"/>
  <c r="D263" i="35"/>
  <c r="C263" i="35"/>
  <c r="I260" i="35"/>
  <c r="D259" i="35"/>
  <c r="C259" i="35"/>
  <c r="I256" i="35"/>
  <c r="D255" i="35"/>
  <c r="C255" i="35"/>
  <c r="I252" i="35"/>
  <c r="D251" i="35"/>
  <c r="C251" i="35"/>
  <c r="B251" i="35"/>
  <c r="A251" i="35"/>
  <c r="W8" i="43" l="1"/>
  <c r="F15" i="43"/>
  <c r="F20" i="43"/>
  <c r="F19" i="43"/>
  <c r="C142" i="14"/>
  <c r="B67" i="41" s="1"/>
  <c r="F11" i="43"/>
  <c r="D38" i="14"/>
  <c r="D39" i="14"/>
  <c r="I22" i="27" s="1"/>
  <c r="C28" i="37"/>
  <c r="C6" i="37"/>
  <c r="C80" i="37"/>
  <c r="F40" i="14"/>
  <c r="K141" i="27"/>
  <c r="K145" i="27" s="1"/>
  <c r="F16" i="43"/>
  <c r="F24" i="43"/>
  <c r="I13" i="43"/>
  <c r="F23" i="43"/>
  <c r="F30" i="43"/>
  <c r="F22" i="43"/>
  <c r="F27" i="43"/>
  <c r="F18" i="43"/>
  <c r="F25" i="43"/>
  <c r="W27" i="43"/>
  <c r="J45" i="27"/>
  <c r="J47" i="27"/>
  <c r="J48" i="27"/>
  <c r="J51" i="27"/>
  <c r="I46" i="27"/>
  <c r="I48" i="27"/>
  <c r="O8" i="43"/>
  <c r="X8" i="43"/>
  <c r="Q8" i="43"/>
  <c r="Q22" i="43" s="1"/>
  <c r="Q13" i="43"/>
  <c r="M78" i="14"/>
  <c r="N78" i="14" s="1"/>
  <c r="C119" i="27"/>
  <c r="C117" i="27"/>
  <c r="I365" i="35"/>
  <c r="K365" i="35"/>
  <c r="G378" i="35"/>
  <c r="G366" i="35"/>
  <c r="M74" i="14"/>
  <c r="O74" i="14" s="1"/>
  <c r="G6" i="1"/>
  <c r="E371" i="35"/>
  <c r="M73" i="14"/>
  <c r="N73" i="14" s="1"/>
  <c r="G374" i="35"/>
  <c r="E367" i="35"/>
  <c r="K306" i="35"/>
  <c r="I318" i="35"/>
  <c r="E5" i="20"/>
  <c r="E320" i="35"/>
  <c r="E5" i="19"/>
  <c r="I53" i="27"/>
  <c r="I44" i="27"/>
  <c r="K38" i="27"/>
  <c r="I47" i="27"/>
  <c r="I49" i="27"/>
  <c r="I50" i="27"/>
  <c r="I51" i="27"/>
  <c r="I45" i="27"/>
  <c r="I52" i="27"/>
  <c r="I54" i="27"/>
  <c r="D157" i="27"/>
  <c r="M138" i="27"/>
  <c r="N81" i="14"/>
  <c r="O81" i="14"/>
  <c r="G6" i="22"/>
  <c r="K373" i="35"/>
  <c r="I361" i="35"/>
  <c r="K361" i="35"/>
  <c r="C367" i="35"/>
  <c r="G379" i="35"/>
  <c r="F367" i="35"/>
  <c r="H363" i="35"/>
  <c r="G367" i="35"/>
  <c r="E375" i="35"/>
  <c r="H375" i="35"/>
  <c r="M75" i="14"/>
  <c r="O75" i="14" s="1"/>
  <c r="F365" i="35"/>
  <c r="K11" i="14"/>
  <c r="M70" i="14"/>
  <c r="N70" i="14" s="1"/>
  <c r="I377" i="35"/>
  <c r="K377" i="35"/>
  <c r="K314" i="35"/>
  <c r="C320" i="35"/>
  <c r="E308" i="35"/>
  <c r="G315" i="35"/>
  <c r="F320" i="35"/>
  <c r="F308" i="35"/>
  <c r="H320" i="35"/>
  <c r="G308" i="35"/>
  <c r="H308" i="35"/>
  <c r="F318" i="35"/>
  <c r="I322" i="35"/>
  <c r="K318" i="35"/>
  <c r="G323" i="35"/>
  <c r="F306" i="35"/>
  <c r="I306" i="35"/>
  <c r="G319" i="35"/>
  <c r="E5" i="18"/>
  <c r="K9" i="14"/>
  <c r="G29" i="21"/>
  <c r="L103" i="27" s="1"/>
  <c r="G32" i="21"/>
  <c r="L106" i="27" s="1"/>
  <c r="G31" i="5"/>
  <c r="L51" i="27" s="1"/>
  <c r="D51" i="27" s="1"/>
  <c r="C51" i="27" s="1"/>
  <c r="M51" i="27" s="1"/>
  <c r="F35" i="5"/>
  <c r="K10" i="14"/>
  <c r="G35" i="21"/>
  <c r="M72" i="14"/>
  <c r="N72" i="14" s="1"/>
  <c r="G6" i="5"/>
  <c r="G30" i="5"/>
  <c r="C137" i="37"/>
  <c r="G6" i="20"/>
  <c r="I105" i="27"/>
  <c r="N21" i="14"/>
  <c r="K310" i="35"/>
  <c r="G312" i="35"/>
  <c r="F312" i="35"/>
  <c r="F310" i="35"/>
  <c r="H312" i="35"/>
  <c r="E312" i="35"/>
  <c r="C95" i="27"/>
  <c r="D96" i="27" s="1"/>
  <c r="G96" i="27" s="1"/>
  <c r="E5" i="21"/>
  <c r="I310" i="35"/>
  <c r="G311" i="35"/>
  <c r="C324" i="35"/>
  <c r="G324" i="35"/>
  <c r="K322" i="35"/>
  <c r="F322" i="35"/>
  <c r="H324" i="35"/>
  <c r="F324" i="35"/>
  <c r="C21" i="37"/>
  <c r="G24" i="1"/>
  <c r="L17" i="27" s="1"/>
  <c r="C122" i="27"/>
  <c r="D123" i="27" s="1"/>
  <c r="G123" i="27" s="1"/>
  <c r="E5" i="22"/>
  <c r="C312" i="35"/>
  <c r="I100" i="27"/>
  <c r="D15" i="1"/>
  <c r="H187" i="27"/>
  <c r="E187" i="27"/>
  <c r="C34" i="27"/>
  <c r="D34" i="27"/>
  <c r="M34" i="14"/>
  <c r="G33" i="5"/>
  <c r="D15" i="5"/>
  <c r="D16" i="5"/>
  <c r="I37" i="27" s="1"/>
  <c r="H188" i="27"/>
  <c r="E188" i="27"/>
  <c r="D60" i="27"/>
  <c r="C60" i="27"/>
  <c r="C57" i="27"/>
  <c r="B255" i="35"/>
  <c r="A255" i="35"/>
  <c r="F314" i="35"/>
  <c r="E316" i="35"/>
  <c r="C316" i="35"/>
  <c r="I314" i="35"/>
  <c r="H316" i="35"/>
  <c r="G316" i="35"/>
  <c r="K369" i="35"/>
  <c r="F371" i="35"/>
  <c r="I369" i="35"/>
  <c r="H371" i="35"/>
  <c r="G371" i="35"/>
  <c r="C371" i="35"/>
  <c r="G370" i="35"/>
  <c r="I127" i="27"/>
  <c r="C23" i="37"/>
  <c r="G31" i="21"/>
  <c r="G6" i="23"/>
  <c r="D15" i="20"/>
  <c r="E189" i="27"/>
  <c r="H189" i="27"/>
  <c r="C69" i="27"/>
  <c r="D69" i="27"/>
  <c r="C143" i="27"/>
  <c r="D144" i="27" s="1"/>
  <c r="G144" i="27" s="1"/>
  <c r="E5" i="23"/>
  <c r="D26" i="37"/>
  <c r="D24" i="37"/>
  <c r="D20" i="37"/>
  <c r="D44" i="37"/>
  <c r="D22" i="37"/>
  <c r="G362" i="35"/>
  <c r="C379" i="35"/>
  <c r="I16" i="27"/>
  <c r="I20" i="27"/>
  <c r="M66" i="14"/>
  <c r="O80" i="14"/>
  <c r="M141" i="27"/>
  <c r="D20" i="27"/>
  <c r="M71" i="14"/>
  <c r="M92" i="27"/>
  <c r="C136" i="37"/>
  <c r="C20" i="37"/>
  <c r="I98" i="27"/>
  <c r="I102" i="27"/>
  <c r="L16" i="27"/>
  <c r="B385" i="35"/>
  <c r="B389" i="35" s="1"/>
  <c r="A393" i="35" s="1"/>
  <c r="C13" i="27"/>
  <c r="D14" i="27" s="1"/>
  <c r="G14" i="27" s="1"/>
  <c r="M35" i="14"/>
  <c r="M68" i="14"/>
  <c r="G33" i="21"/>
  <c r="G30" i="21"/>
  <c r="G34" i="21"/>
  <c r="G6" i="18"/>
  <c r="A385" i="35"/>
  <c r="F379" i="35"/>
  <c r="E379" i="35"/>
  <c r="F377" i="35"/>
  <c r="I103" i="27"/>
  <c r="G34" i="5"/>
  <c r="I18" i="27"/>
  <c r="F363" i="35"/>
  <c r="F361" i="35"/>
  <c r="E363" i="35"/>
  <c r="C363" i="35"/>
  <c r="G375" i="35"/>
  <c r="C375" i="35"/>
  <c r="I373" i="35"/>
  <c r="F373" i="35"/>
  <c r="D18" i="27"/>
  <c r="C18" i="27" s="1"/>
  <c r="M18" i="27" s="1"/>
  <c r="M67" i="14"/>
  <c r="J218" i="14" a="1"/>
  <c r="J218" i="14" s="1"/>
  <c r="I218" i="14" s="1"/>
  <c r="I126" i="27"/>
  <c r="I19" i="27"/>
  <c r="D16" i="21"/>
  <c r="I91" i="27" s="1"/>
  <c r="H190" i="27"/>
  <c r="E190" i="27"/>
  <c r="C88" i="27"/>
  <c r="D88" i="27"/>
  <c r="I108" i="27"/>
  <c r="D15" i="22"/>
  <c r="E191" i="27"/>
  <c r="C22" i="37"/>
  <c r="D19" i="27"/>
  <c r="C19" i="27"/>
  <c r="M19" i="27" s="1"/>
  <c r="P81" i="14"/>
  <c r="G307" i="35"/>
  <c r="C24" i="37"/>
  <c r="I99" i="27"/>
  <c r="I106" i="27"/>
  <c r="I128" i="27"/>
  <c r="N22" i="14"/>
  <c r="M76" i="14"/>
  <c r="H186" i="27"/>
  <c r="E186" i="27"/>
  <c r="C25" i="27"/>
  <c r="D25" i="27"/>
  <c r="C22" i="27"/>
  <c r="I101" i="27"/>
  <c r="G29" i="5"/>
  <c r="H192" i="27"/>
  <c r="E192" i="27"/>
  <c r="D134" i="27"/>
  <c r="C134" i="27"/>
  <c r="J20" i="27"/>
  <c r="J18" i="27"/>
  <c r="J19" i="27"/>
  <c r="J17" i="27"/>
  <c r="I107" i="27"/>
  <c r="I104" i="27"/>
  <c r="E5" i="5"/>
  <c r="E185" i="27"/>
  <c r="H185" i="27"/>
  <c r="D7" i="27"/>
  <c r="C7" i="27"/>
  <c r="I17" i="27"/>
  <c r="H159" i="27"/>
  <c r="G159" i="27"/>
  <c r="H135" i="27"/>
  <c r="W22" i="43"/>
  <c r="W25" i="43"/>
  <c r="W11" i="43"/>
  <c r="Q11" i="43"/>
  <c r="C71" i="27"/>
  <c r="W30" i="43"/>
  <c r="J54" i="27"/>
  <c r="X18" i="43"/>
  <c r="W18" i="43"/>
  <c r="W23" i="43"/>
  <c r="W15" i="43"/>
  <c r="G160" i="27"/>
  <c r="Q24" i="43"/>
  <c r="G158" i="27"/>
  <c r="W16" i="43"/>
  <c r="W24" i="43"/>
  <c r="D248" i="35"/>
  <c r="O247" i="35"/>
  <c r="M247" i="35"/>
  <c r="K247" i="35"/>
  <c r="G247" i="35"/>
  <c r="D247" i="35"/>
  <c r="C247" i="35"/>
  <c r="J246" i="35"/>
  <c r="G246" i="35"/>
  <c r="Q30" i="43" l="1"/>
  <c r="Q20" i="43"/>
  <c r="Q19" i="43"/>
  <c r="X16" i="43"/>
  <c r="X20" i="43"/>
  <c r="X19" i="43"/>
  <c r="O11" i="43"/>
  <c r="O20" i="43"/>
  <c r="O19" i="43"/>
  <c r="W20" i="43"/>
  <c r="W19" i="43"/>
  <c r="E41" i="14"/>
  <c r="H40" i="14"/>
  <c r="E38" i="14"/>
  <c r="G40" i="14"/>
  <c r="G26" i="21"/>
  <c r="L100" i="27" s="1"/>
  <c r="D100" i="27" s="1"/>
  <c r="C100" i="27" s="1"/>
  <c r="M100" i="27" s="1"/>
  <c r="K131" i="27"/>
  <c r="M131" i="27" s="1"/>
  <c r="E40" i="14"/>
  <c r="H39" i="14"/>
  <c r="I85" i="27" s="1"/>
  <c r="J38" i="14"/>
  <c r="G39" i="14"/>
  <c r="I66" i="27" s="1"/>
  <c r="C83" i="37"/>
  <c r="C86" i="37" s="1"/>
  <c r="H38" i="14"/>
  <c r="J40" i="14"/>
  <c r="P82" i="14"/>
  <c r="X30" i="43"/>
  <c r="X22" i="43"/>
  <c r="O30" i="43"/>
  <c r="X25" i="43"/>
  <c r="O23" i="43"/>
  <c r="O16" i="43"/>
  <c r="O18" i="43"/>
  <c r="O27" i="43"/>
  <c r="X27" i="43"/>
  <c r="G28" i="21"/>
  <c r="L102" i="27" s="1"/>
  <c r="D102" i="27" s="1"/>
  <c r="C102" i="27" s="1"/>
  <c r="M102" i="27" s="1"/>
  <c r="C70" i="37"/>
  <c r="C76" i="37"/>
  <c r="C79" i="37"/>
  <c r="H4" i="1"/>
  <c r="H11" i="1" s="1"/>
  <c r="G24" i="5"/>
  <c r="L44" i="27" s="1"/>
  <c r="C108" i="37"/>
  <c r="C31" i="37"/>
  <c r="G26" i="22"/>
  <c r="L128" i="27" s="1"/>
  <c r="D128" i="27" s="1"/>
  <c r="C128" i="27" s="1"/>
  <c r="M128" i="27" s="1"/>
  <c r="C74" i="37"/>
  <c r="C73" i="37"/>
  <c r="G5" i="22"/>
  <c r="H4" i="22" s="1"/>
  <c r="H11" i="22" s="1"/>
  <c r="C77" i="37"/>
  <c r="C68" i="37"/>
  <c r="K138" i="27"/>
  <c r="C110" i="37"/>
  <c r="E39" i="14"/>
  <c r="I31" i="27" s="1"/>
  <c r="K31" i="27"/>
  <c r="M31" i="27" s="1"/>
  <c r="G5" i="21"/>
  <c r="M112" i="27"/>
  <c r="K112" i="27"/>
  <c r="C109" i="37"/>
  <c r="C53" i="37"/>
  <c r="C51" i="37"/>
  <c r="C139" i="37"/>
  <c r="C81" i="37"/>
  <c r="G5" i="5"/>
  <c r="F195" i="27" s="1"/>
  <c r="G195" i="27" s="1"/>
  <c r="M41" i="27" s="1"/>
  <c r="L41" i="27" s="1"/>
  <c r="I39" i="14"/>
  <c r="F38" i="14"/>
  <c r="C32" i="37"/>
  <c r="G5" i="19"/>
  <c r="C30" i="37"/>
  <c r="I38" i="14"/>
  <c r="C130" i="37"/>
  <c r="C105" i="37"/>
  <c r="C40" i="14"/>
  <c r="C85" i="37"/>
  <c r="M57" i="27"/>
  <c r="K57" i="27" s="1"/>
  <c r="C129" i="37"/>
  <c r="C5" i="37"/>
  <c r="H4" i="18"/>
  <c r="H11" i="18" s="1"/>
  <c r="G5" i="18"/>
  <c r="D27" i="27" s="1"/>
  <c r="M22" i="27"/>
  <c r="K22" i="27" s="1"/>
  <c r="I40" i="14"/>
  <c r="C27" i="37"/>
  <c r="K66" i="27"/>
  <c r="C67" i="37"/>
  <c r="G28" i="5"/>
  <c r="L48" i="27" s="1"/>
  <c r="D48" i="27" s="1"/>
  <c r="C48" i="27" s="1"/>
  <c r="M48" i="27" s="1"/>
  <c r="G26" i="20"/>
  <c r="L82" i="27" s="1"/>
  <c r="D82" i="27" s="1"/>
  <c r="C82" i="27" s="1"/>
  <c r="M82" i="27" s="1"/>
  <c r="C135" i="37"/>
  <c r="H4" i="20"/>
  <c r="G5" i="23"/>
  <c r="G5" i="20"/>
  <c r="F198" i="27" s="1"/>
  <c r="K119" i="27"/>
  <c r="G5" i="1"/>
  <c r="F200" i="27" s="1"/>
  <c r="G200" i="27" s="1"/>
  <c r="M13" i="27" s="1"/>
  <c r="L13" i="27" s="1"/>
  <c r="M4" i="27"/>
  <c r="C131" i="37"/>
  <c r="K73" i="27"/>
  <c r="H4" i="19"/>
  <c r="C188" i="27" s="1"/>
  <c r="C33" i="37"/>
  <c r="G6" i="19"/>
  <c r="F39" i="14"/>
  <c r="I196" i="27" s="1"/>
  <c r="M66" i="27"/>
  <c r="C141" i="37"/>
  <c r="C71" i="37"/>
  <c r="J39" i="14"/>
  <c r="I131" i="27" s="1"/>
  <c r="H4" i="23"/>
  <c r="C192" i="27" s="1"/>
  <c r="C84" i="37"/>
  <c r="C140" i="37"/>
  <c r="G38" i="14"/>
  <c r="G24" i="21"/>
  <c r="C39" i="14"/>
  <c r="I4" i="27" s="1"/>
  <c r="K4" i="27"/>
  <c r="K72" i="27"/>
  <c r="C103" i="37"/>
  <c r="M85" i="27"/>
  <c r="O25" i="43"/>
  <c r="Q25" i="43"/>
  <c r="O15" i="43"/>
  <c r="X29" i="43"/>
  <c r="O22" i="43"/>
  <c r="C52" i="37"/>
  <c r="H4" i="21"/>
  <c r="D40" i="14"/>
  <c r="C69" i="37"/>
  <c r="C26" i="37"/>
  <c r="K85" i="27"/>
  <c r="G6" i="21"/>
  <c r="M38" i="27"/>
  <c r="G27" i="21"/>
  <c r="G27" i="5"/>
  <c r="L47" i="27" s="1"/>
  <c r="D47" i="27" s="1"/>
  <c r="G26" i="5"/>
  <c r="L46" i="27" s="1"/>
  <c r="D46" i="27" s="1"/>
  <c r="C46" i="27" s="1"/>
  <c r="M46" i="27" s="1"/>
  <c r="G25" i="5"/>
  <c r="G25" i="21"/>
  <c r="L99" i="27" s="1"/>
  <c r="D99" i="27" s="1"/>
  <c r="C99" i="27" s="1"/>
  <c r="M99" i="27" s="1"/>
  <c r="Q16" i="43"/>
  <c r="O24" i="43"/>
  <c r="X28" i="43"/>
  <c r="Q27" i="43"/>
  <c r="Q15" i="43"/>
  <c r="X24" i="43"/>
  <c r="Q23" i="43"/>
  <c r="X23" i="43"/>
  <c r="X15" i="43"/>
  <c r="Q18" i="43"/>
  <c r="X11" i="43"/>
  <c r="B259" i="35"/>
  <c r="B263" i="35" s="1"/>
  <c r="N75" i="14"/>
  <c r="N74" i="14"/>
  <c r="O73" i="14"/>
  <c r="O70" i="14"/>
  <c r="L10" i="14"/>
  <c r="C104" i="37"/>
  <c r="P71" i="14"/>
  <c r="C106" i="37"/>
  <c r="L50" i="27"/>
  <c r="D50" i="27" s="1"/>
  <c r="L53" i="27"/>
  <c r="D53" i="27" s="1"/>
  <c r="L49" i="27"/>
  <c r="D49" i="27" s="1"/>
  <c r="C49" i="27" s="1"/>
  <c r="M49" i="27" s="1"/>
  <c r="L54" i="27"/>
  <c r="D54" i="27" s="1"/>
  <c r="C54" i="27" s="1"/>
  <c r="M54" i="27" s="1"/>
  <c r="D106" i="27"/>
  <c r="H106" i="27" s="1"/>
  <c r="D103" i="27"/>
  <c r="H103" i="27" s="1"/>
  <c r="L104" i="27"/>
  <c r="L107" i="27"/>
  <c r="D107" i="27" s="1"/>
  <c r="L108" i="27"/>
  <c r="L105" i="27"/>
  <c r="D105" i="27" s="1"/>
  <c r="E248" i="35"/>
  <c r="H4" i="5"/>
  <c r="H22" i="1"/>
  <c r="C4" i="37"/>
  <c r="C38" i="14"/>
  <c r="M73" i="27"/>
  <c r="H51" i="27"/>
  <c r="G51" i="27"/>
  <c r="G88" i="27"/>
  <c r="H88" i="27"/>
  <c r="H69" i="27"/>
  <c r="G69" i="27"/>
  <c r="H34" i="27"/>
  <c r="G34" i="27"/>
  <c r="O76" i="14"/>
  <c r="N76" i="14"/>
  <c r="P70" i="14"/>
  <c r="C72" i="37"/>
  <c r="M85" i="14"/>
  <c r="M84" i="14"/>
  <c r="O66" i="14"/>
  <c r="N66" i="14"/>
  <c r="C61" i="27"/>
  <c r="D57" i="27"/>
  <c r="D59" i="27"/>
  <c r="G59" i="27" s="1"/>
  <c r="M11" i="27"/>
  <c r="M15" i="27" s="1"/>
  <c r="D16" i="27"/>
  <c r="C16" i="27" s="1"/>
  <c r="M16" i="27" s="1"/>
  <c r="J219" i="14" a="1"/>
  <c r="J219" i="14" s="1"/>
  <c r="I219" i="14" s="1"/>
  <c r="M93" i="27"/>
  <c r="M97" i="27" s="1"/>
  <c r="O68" i="14"/>
  <c r="N68" i="14"/>
  <c r="N17" i="14"/>
  <c r="A259" i="35"/>
  <c r="H60" i="27"/>
  <c r="G60" i="27"/>
  <c r="H20" i="27"/>
  <c r="G20" i="27"/>
  <c r="N67" i="14"/>
  <c r="O67" i="14"/>
  <c r="M74" i="27"/>
  <c r="M78" i="27" s="1"/>
  <c r="B393" i="35"/>
  <c r="B397" i="35" s="1"/>
  <c r="M117" i="27"/>
  <c r="L117" i="27" s="1"/>
  <c r="M120" i="27"/>
  <c r="M124" i="27" s="1"/>
  <c r="A389" i="35"/>
  <c r="C75" i="37"/>
  <c r="G32" i="5"/>
  <c r="H7" i="27"/>
  <c r="G7" i="27"/>
  <c r="P76" i="14"/>
  <c r="P66" i="14"/>
  <c r="P34" i="14"/>
  <c r="P67" i="14"/>
  <c r="P72" i="14"/>
  <c r="P68" i="14"/>
  <c r="H134" i="27"/>
  <c r="G134" i="27"/>
  <c r="M145" i="27"/>
  <c r="C15" i="37"/>
  <c r="M119" i="27"/>
  <c r="D24" i="27"/>
  <c r="G24" i="27" s="1"/>
  <c r="D22" i="27"/>
  <c r="C26" i="27"/>
  <c r="G19" i="27"/>
  <c r="H19" i="27"/>
  <c r="H18" i="27"/>
  <c r="G18" i="27"/>
  <c r="O71" i="14"/>
  <c r="N71" i="14"/>
  <c r="O72" i="14"/>
  <c r="G25" i="27"/>
  <c r="H25" i="27"/>
  <c r="C20" i="27"/>
  <c r="M20" i="27" s="1"/>
  <c r="M69" i="14"/>
  <c r="N69" i="14" s="1"/>
  <c r="D17" i="27"/>
  <c r="D245" i="35"/>
  <c r="O244" i="35"/>
  <c r="M244" i="35"/>
  <c r="K244" i="35"/>
  <c r="G244" i="35"/>
  <c r="D244" i="35"/>
  <c r="C244" i="35"/>
  <c r="J243" i="35"/>
  <c r="G243" i="35"/>
  <c r="I197" i="27" l="1"/>
  <c r="I84" i="27" s="1"/>
  <c r="I198" i="27"/>
  <c r="I65" i="27" s="1"/>
  <c r="I199" i="27"/>
  <c r="I111" i="27" s="1"/>
  <c r="C38" i="37"/>
  <c r="C111" i="37"/>
  <c r="C11" i="37"/>
  <c r="C96" i="37"/>
  <c r="C91" i="37"/>
  <c r="C46" i="37"/>
  <c r="C54" i="37"/>
  <c r="C42" i="37"/>
  <c r="C58" i="37"/>
  <c r="C62" i="37"/>
  <c r="C34" i="37"/>
  <c r="C116" i="37"/>
  <c r="C121" i="37"/>
  <c r="C103" i="27"/>
  <c r="M103" i="27" s="1"/>
  <c r="O34" i="14"/>
  <c r="F199" i="27"/>
  <c r="F191" i="27" s="1"/>
  <c r="G4" i="22"/>
  <c r="I195" i="27"/>
  <c r="I30" i="27" s="1"/>
  <c r="C191" i="27"/>
  <c r="G24" i="22"/>
  <c r="D185" i="27"/>
  <c r="G128" i="27"/>
  <c r="H128" i="27"/>
  <c r="C185" i="27"/>
  <c r="G4" i="1"/>
  <c r="F197" i="27"/>
  <c r="G197" i="27" s="1"/>
  <c r="M95" i="27" s="1"/>
  <c r="L95" i="27" s="1"/>
  <c r="I112" i="27"/>
  <c r="I57" i="27"/>
  <c r="D62" i="27"/>
  <c r="H62" i="27" s="1"/>
  <c r="L57" i="27"/>
  <c r="G4" i="18"/>
  <c r="D186" i="27"/>
  <c r="G4" i="23"/>
  <c r="D192" i="27"/>
  <c r="C243" i="35"/>
  <c r="I200" i="27"/>
  <c r="I3" i="27" s="1"/>
  <c r="C186" i="27"/>
  <c r="C246" i="35"/>
  <c r="L22" i="27"/>
  <c r="H11" i="19"/>
  <c r="G4" i="19"/>
  <c r="D188" i="27"/>
  <c r="G4" i="20"/>
  <c r="F196" i="27"/>
  <c r="F188" i="27" s="1"/>
  <c r="C189" i="27"/>
  <c r="H11" i="20"/>
  <c r="L98" i="27"/>
  <c r="D98" i="27" s="1"/>
  <c r="C98" i="27" s="1"/>
  <c r="M98" i="27" s="1"/>
  <c r="C144" i="37"/>
  <c r="C142" i="37"/>
  <c r="C133" i="37"/>
  <c r="G24" i="20"/>
  <c r="H11" i="21"/>
  <c r="C190" i="27"/>
  <c r="G4" i="21"/>
  <c r="H22" i="21"/>
  <c r="E200" i="27"/>
  <c r="J121" i="35"/>
  <c r="J49" i="35"/>
  <c r="L247" i="35"/>
  <c r="J247" i="35"/>
  <c r="J118" i="35"/>
  <c r="J46" i="35"/>
  <c r="L244" i="35"/>
  <c r="J244" i="35"/>
  <c r="J115" i="35"/>
  <c r="J43" i="35"/>
  <c r="J241" i="35"/>
  <c r="J112" i="35"/>
  <c r="J40" i="35"/>
  <c r="J220" i="35"/>
  <c r="J238" i="35"/>
  <c r="J109" i="35"/>
  <c r="J235" i="35"/>
  <c r="J106" i="35"/>
  <c r="J232" i="35"/>
  <c r="J103" i="35"/>
  <c r="J67" i="35"/>
  <c r="J55" i="35"/>
  <c r="J229" i="35"/>
  <c r="J100" i="35"/>
  <c r="J64" i="35"/>
  <c r="J226" i="35"/>
  <c r="J61" i="35"/>
  <c r="J127" i="35"/>
  <c r="J223" i="35"/>
  <c r="J58" i="35"/>
  <c r="J124" i="35"/>
  <c r="J52" i="35"/>
  <c r="C106" i="27"/>
  <c r="M106" i="27" s="1"/>
  <c r="A397" i="35"/>
  <c r="A267" i="35"/>
  <c r="A263" i="35"/>
  <c r="B267" i="35"/>
  <c r="B271" i="35" s="1"/>
  <c r="G185" i="27"/>
  <c r="F185" i="27"/>
  <c r="L73" i="27"/>
  <c r="F187" i="27"/>
  <c r="G187" i="27"/>
  <c r="E195" i="27"/>
  <c r="G103" i="27"/>
  <c r="L45" i="27"/>
  <c r="D45" i="27" s="1"/>
  <c r="G45" i="27" s="1"/>
  <c r="L52" i="27"/>
  <c r="D52" i="27" s="1"/>
  <c r="C52" i="27" s="1"/>
  <c r="M52" i="27" s="1"/>
  <c r="C107" i="27"/>
  <c r="M107" i="27" s="1"/>
  <c r="D104" i="27"/>
  <c r="H104" i="27" s="1"/>
  <c r="D108" i="27"/>
  <c r="H108" i="27" s="1"/>
  <c r="L101" i="27"/>
  <c r="D101" i="27" s="1"/>
  <c r="C101" i="27" s="1"/>
  <c r="M101" i="27" s="1"/>
  <c r="C105" i="27"/>
  <c r="M105" i="27" s="1"/>
  <c r="G106" i="27"/>
  <c r="E245" i="35"/>
  <c r="O78" i="14"/>
  <c r="H11" i="5"/>
  <c r="C187" i="27"/>
  <c r="G4" i="5"/>
  <c r="P73" i="14"/>
  <c r="P75" i="14"/>
  <c r="P78" i="14" s="1"/>
  <c r="H50" i="27"/>
  <c r="G50" i="27"/>
  <c r="N16" i="14"/>
  <c r="H105" i="27"/>
  <c r="G105" i="27"/>
  <c r="H82" i="27"/>
  <c r="G82" i="27"/>
  <c r="G46" i="27"/>
  <c r="H46" i="27"/>
  <c r="H54" i="27"/>
  <c r="G54" i="27"/>
  <c r="G49" i="27"/>
  <c r="H49" i="27"/>
  <c r="H22" i="27"/>
  <c r="G22" i="27"/>
  <c r="J220" i="14" a="1"/>
  <c r="J220" i="14" s="1"/>
  <c r="I220" i="14" s="1"/>
  <c r="D189" i="27"/>
  <c r="H27" i="27"/>
  <c r="G27" i="27"/>
  <c r="G47" i="27"/>
  <c r="H47" i="27"/>
  <c r="C47" i="27"/>
  <c r="M47" i="27" s="1"/>
  <c r="E198" i="27"/>
  <c r="F189" i="27"/>
  <c r="G198" i="27"/>
  <c r="M76" i="27" s="1"/>
  <c r="L76" i="27" s="1"/>
  <c r="G189" i="27"/>
  <c r="C7" i="37"/>
  <c r="H22" i="5"/>
  <c r="D44" i="27"/>
  <c r="D26" i="27"/>
  <c r="M26" i="27"/>
  <c r="K26" i="27" s="1"/>
  <c r="G17" i="27"/>
  <c r="H17" i="27"/>
  <c r="C17" i="27"/>
  <c r="M17" i="27" s="1"/>
  <c r="D190" i="27"/>
  <c r="H57" i="27"/>
  <c r="G57" i="27"/>
  <c r="G99" i="27"/>
  <c r="H99" i="27"/>
  <c r="K37" i="27"/>
  <c r="H53" i="27"/>
  <c r="G53" i="27"/>
  <c r="N14" i="14"/>
  <c r="N13" i="14" s="1"/>
  <c r="H16" i="27"/>
  <c r="G16" i="27"/>
  <c r="D61" i="27"/>
  <c r="M61" i="27"/>
  <c r="K61" i="27" s="1"/>
  <c r="C127" i="37"/>
  <c r="C126" i="37"/>
  <c r="C102" i="37"/>
  <c r="H100" i="27"/>
  <c r="G100" i="27"/>
  <c r="O84" i="14"/>
  <c r="P84" i="14" s="1"/>
  <c r="N84" i="14"/>
  <c r="C101" i="37"/>
  <c r="G107" i="27"/>
  <c r="H107" i="27"/>
  <c r="H102" i="27"/>
  <c r="G102" i="27"/>
  <c r="C50" i="27"/>
  <c r="M50" i="27" s="1"/>
  <c r="H48" i="27"/>
  <c r="G48" i="27"/>
  <c r="C53" i="27"/>
  <c r="M53" i="27" s="1"/>
  <c r="C134" i="37"/>
  <c r="G25" i="20"/>
  <c r="L81" i="27" s="1"/>
  <c r="G25" i="22"/>
  <c r="L127" i="27" s="1"/>
  <c r="N85" i="14"/>
  <c r="C128" i="37"/>
  <c r="D242" i="35"/>
  <c r="O241" i="35"/>
  <c r="M241" i="35"/>
  <c r="K241" i="35"/>
  <c r="G241" i="35"/>
  <c r="D241" i="35"/>
  <c r="C241" i="35"/>
  <c r="J240" i="35"/>
  <c r="L241" i="35" s="1"/>
  <c r="G240" i="35"/>
  <c r="C240" i="35"/>
  <c r="C99" i="37" l="1"/>
  <c r="C119" i="37"/>
  <c r="C56" i="37"/>
  <c r="C143" i="37"/>
  <c r="C94" i="37"/>
  <c r="C40" i="37"/>
  <c r="C89" i="37"/>
  <c r="C64" i="37"/>
  <c r="C44" i="37"/>
  <c r="C48" i="37"/>
  <c r="C36" i="37"/>
  <c r="C114" i="37"/>
  <c r="C124" i="37"/>
  <c r="C60" i="37"/>
  <c r="C108" i="27"/>
  <c r="M108" i="27" s="1"/>
  <c r="E199" i="27"/>
  <c r="G191" i="27"/>
  <c r="G199" i="27"/>
  <c r="M122" i="27" s="1"/>
  <c r="L122" i="27" s="1"/>
  <c r="H14" i="5"/>
  <c r="G14" i="5" s="1"/>
  <c r="D191" i="27"/>
  <c r="F190" i="27"/>
  <c r="G62" i="27"/>
  <c r="E197" i="27"/>
  <c r="G190" i="27"/>
  <c r="K137" i="27"/>
  <c r="M137" i="27" s="1"/>
  <c r="L137" i="27" s="1"/>
  <c r="E196" i="27"/>
  <c r="G188" i="27"/>
  <c r="G196" i="27"/>
  <c r="M62" i="27" s="1"/>
  <c r="L62" i="27" s="1"/>
  <c r="C10" i="37"/>
  <c r="H14" i="20"/>
  <c r="K11" i="27"/>
  <c r="H14" i="1"/>
  <c r="K93" i="27"/>
  <c r="C18" i="37"/>
  <c r="K120" i="27"/>
  <c r="H14" i="22"/>
  <c r="H14" i="21"/>
  <c r="K74" i="27"/>
  <c r="K39" i="27"/>
  <c r="M39" i="27" s="1"/>
  <c r="M43" i="27" s="1"/>
  <c r="C14" i="37"/>
  <c r="J190" i="27"/>
  <c r="H14" i="23"/>
  <c r="D130" i="27" s="1"/>
  <c r="C104" i="27"/>
  <c r="M104" i="27" s="1"/>
  <c r="B278" i="35"/>
  <c r="B285" i="35" s="1"/>
  <c r="A292" i="35" s="1"/>
  <c r="A278" i="35"/>
  <c r="A271" i="35"/>
  <c r="J192" i="27"/>
  <c r="J189" i="27"/>
  <c r="C45" i="27"/>
  <c r="M45" i="27" s="1"/>
  <c r="H45" i="27"/>
  <c r="J188" i="27"/>
  <c r="J187" i="27"/>
  <c r="J191" i="27"/>
  <c r="G104" i="27"/>
  <c r="G108" i="27"/>
  <c r="G101" i="27"/>
  <c r="H101" i="27"/>
  <c r="E242" i="35"/>
  <c r="J185" i="27"/>
  <c r="J186" i="27"/>
  <c r="D187" i="27"/>
  <c r="L61" i="27"/>
  <c r="L26" i="27"/>
  <c r="N15" i="14"/>
  <c r="M83" i="14" s="1"/>
  <c r="L126" i="27"/>
  <c r="H23" i="22"/>
  <c r="G61" i="27"/>
  <c r="H61" i="27"/>
  <c r="H64" i="27" s="1"/>
  <c r="D64" i="27"/>
  <c r="G26" i="27"/>
  <c r="G29" i="27" s="1"/>
  <c r="H26" i="27"/>
  <c r="H29" i="27" s="1"/>
  <c r="D29" i="27"/>
  <c r="H52" i="27"/>
  <c r="G52" i="27"/>
  <c r="H44" i="27"/>
  <c r="G44" i="27"/>
  <c r="C44" i="27"/>
  <c r="M44" i="27" s="1"/>
  <c r="D81" i="27"/>
  <c r="C81" i="27" s="1"/>
  <c r="M81" i="27" s="1"/>
  <c r="H98" i="27"/>
  <c r="G98" i="27"/>
  <c r="L92" i="27"/>
  <c r="J221" i="14" a="1"/>
  <c r="J221" i="14" s="1"/>
  <c r="I221" i="14" s="1"/>
  <c r="L80" i="27"/>
  <c r="D127" i="27"/>
  <c r="C127" i="27" s="1"/>
  <c r="M127" i="27" s="1"/>
  <c r="L119" i="27"/>
  <c r="H23" i="20"/>
  <c r="D239" i="35"/>
  <c r="O238" i="35"/>
  <c r="M238" i="35"/>
  <c r="K238" i="35"/>
  <c r="G238" i="35"/>
  <c r="D238" i="35"/>
  <c r="C238" i="35"/>
  <c r="J237" i="35"/>
  <c r="G237" i="35"/>
  <c r="C237" i="35"/>
  <c r="C90" i="37" l="1"/>
  <c r="C115" i="37"/>
  <c r="C37" i="37"/>
  <c r="C120" i="37"/>
  <c r="C41" i="37"/>
  <c r="C100" i="37"/>
  <c r="C61" i="37"/>
  <c r="C95" i="37"/>
  <c r="C57" i="37"/>
  <c r="C125" i="37"/>
  <c r="C45" i="37"/>
  <c r="C65" i="37"/>
  <c r="C49" i="37"/>
  <c r="C87" i="37"/>
  <c r="C88" i="37"/>
  <c r="C43" i="37"/>
  <c r="C47" i="37"/>
  <c r="C92" i="37"/>
  <c r="C63" i="37"/>
  <c r="C93" i="37"/>
  <c r="C118" i="37"/>
  <c r="C39" i="37"/>
  <c r="C112" i="37"/>
  <c r="C123" i="37"/>
  <c r="C59" i="37"/>
  <c r="C117" i="37"/>
  <c r="C35" i="37"/>
  <c r="C113" i="37"/>
  <c r="C98" i="37"/>
  <c r="C122" i="37"/>
  <c r="C55" i="37"/>
  <c r="C97" i="37"/>
  <c r="H37" i="5"/>
  <c r="G64" i="27"/>
  <c r="K71" i="27"/>
  <c r="M71" i="27" s="1"/>
  <c r="L71" i="27" s="1"/>
  <c r="K78" i="27"/>
  <c r="K15" i="27"/>
  <c r="K9" i="27"/>
  <c r="M9" i="27" s="1"/>
  <c r="L9" i="27" s="1"/>
  <c r="G14" i="22"/>
  <c r="D111" i="27"/>
  <c r="D65" i="27"/>
  <c r="D71" i="27" s="1"/>
  <c r="G14" i="20"/>
  <c r="D84" i="27"/>
  <c r="G14" i="21"/>
  <c r="C12" i="37"/>
  <c r="C8" i="37"/>
  <c r="C9" i="37"/>
  <c r="D30" i="27"/>
  <c r="C17" i="37"/>
  <c r="C13" i="37"/>
  <c r="C16" i="37"/>
  <c r="K117" i="27"/>
  <c r="K124" i="27"/>
  <c r="K97" i="27"/>
  <c r="K90" i="27"/>
  <c r="M90" i="27" s="1"/>
  <c r="L90" i="27" s="1"/>
  <c r="K36" i="27"/>
  <c r="M36" i="27" s="1"/>
  <c r="L36" i="27" s="1"/>
  <c r="K43" i="27"/>
  <c r="G14" i="1"/>
  <c r="D3" i="27"/>
  <c r="H29" i="1"/>
  <c r="H37" i="21"/>
  <c r="D137" i="27"/>
  <c r="D138" i="27"/>
  <c r="D140" i="27"/>
  <c r="D139" i="27"/>
  <c r="G14" i="23"/>
  <c r="H25" i="23"/>
  <c r="H27" i="23"/>
  <c r="E239" i="35"/>
  <c r="L238" i="35"/>
  <c r="B292" i="35"/>
  <c r="B299" i="35" s="1"/>
  <c r="A285" i="35"/>
  <c r="I191" i="27"/>
  <c r="I154" i="27" s="1"/>
  <c r="D154" i="27" s="1"/>
  <c r="H154" i="27" s="1"/>
  <c r="M150" i="27"/>
  <c r="N83" i="14"/>
  <c r="N86" i="14" s="1"/>
  <c r="O83" i="14"/>
  <c r="M86" i="14"/>
  <c r="L86" i="14"/>
  <c r="M148" i="27"/>
  <c r="M149" i="27"/>
  <c r="M152" i="27"/>
  <c r="I190" i="27"/>
  <c r="I153" i="27" s="1"/>
  <c r="D153" i="27" s="1"/>
  <c r="H153" i="27" s="1"/>
  <c r="I189" i="27"/>
  <c r="I152" i="27" s="1"/>
  <c r="D152" i="27" s="1"/>
  <c r="H152" i="27" s="1"/>
  <c r="M153" i="27"/>
  <c r="M154" i="27"/>
  <c r="M151" i="27"/>
  <c r="D80" i="27"/>
  <c r="C80" i="27" s="1"/>
  <c r="M80" i="27" s="1"/>
  <c r="H28" i="20"/>
  <c r="H30" i="20"/>
  <c r="H127" i="27"/>
  <c r="G127" i="27"/>
  <c r="D126" i="27"/>
  <c r="H28" i="22"/>
  <c r="H30" i="22"/>
  <c r="H81" i="27"/>
  <c r="G81" i="27"/>
  <c r="C131" i="27"/>
  <c r="J222" i="14" a="1"/>
  <c r="J222" i="14" s="1"/>
  <c r="I222" i="14" s="1"/>
  <c r="J223" i="14" s="1" a="1"/>
  <c r="J223" i="14" s="1"/>
  <c r="I223" i="14" s="1"/>
  <c r="D236" i="35"/>
  <c r="O235" i="35"/>
  <c r="M235" i="35"/>
  <c r="K235" i="35"/>
  <c r="G235" i="35"/>
  <c r="D235" i="35"/>
  <c r="C235" i="35"/>
  <c r="J234" i="35"/>
  <c r="G234" i="35"/>
  <c r="C234" i="35"/>
  <c r="D91" i="27" l="1"/>
  <c r="D90" i="27"/>
  <c r="G71" i="27"/>
  <c r="H71" i="27"/>
  <c r="D9" i="27"/>
  <c r="D10" i="27"/>
  <c r="C4" i="27"/>
  <c r="D6" i="27" s="1"/>
  <c r="G6" i="27" s="1"/>
  <c r="C85" i="27"/>
  <c r="D87" i="27" s="1"/>
  <c r="G87" i="27" s="1"/>
  <c r="D92" i="27"/>
  <c r="D72" i="27"/>
  <c r="C66" i="27"/>
  <c r="D68" i="27" s="1"/>
  <c r="G68" i="27" s="1"/>
  <c r="D73" i="27"/>
  <c r="D117" i="27"/>
  <c r="D118" i="27"/>
  <c r="C112" i="27"/>
  <c r="D114" i="27" s="1"/>
  <c r="G114" i="27" s="1"/>
  <c r="D119" i="27"/>
  <c r="D38" i="27"/>
  <c r="C31" i="27"/>
  <c r="D33" i="27" s="1"/>
  <c r="G33" i="27" s="1"/>
  <c r="D37" i="27"/>
  <c r="D36" i="27"/>
  <c r="I141" i="27"/>
  <c r="C141" i="27"/>
  <c r="M179" i="27"/>
  <c r="L179" i="27" s="1"/>
  <c r="E236" i="35"/>
  <c r="L235" i="35"/>
  <c r="A306" i="35"/>
  <c r="A299" i="35"/>
  <c r="B306" i="35"/>
  <c r="M175" i="27"/>
  <c r="L175" i="27" s="1"/>
  <c r="M176" i="27"/>
  <c r="L176" i="27" s="1"/>
  <c r="G154" i="27"/>
  <c r="P83" i="14"/>
  <c r="P86" i="14" s="1"/>
  <c r="G153" i="27"/>
  <c r="G152" i="27"/>
  <c r="G139" i="27"/>
  <c r="H139" i="27"/>
  <c r="L139" i="27"/>
  <c r="M139" i="27" s="1"/>
  <c r="J224" i="14" a="1"/>
  <c r="J224" i="14" s="1"/>
  <c r="I224" i="14" s="1"/>
  <c r="J225" i="14" s="1" a="1"/>
  <c r="J225" i="14" s="1"/>
  <c r="I225" i="14" s="1"/>
  <c r="D133" i="27"/>
  <c r="G133" i="27" s="1"/>
  <c r="C136" i="27"/>
  <c r="D131" i="27"/>
  <c r="L131" i="27"/>
  <c r="H80" i="27"/>
  <c r="G80" i="27"/>
  <c r="H138" i="27"/>
  <c r="G138" i="27"/>
  <c r="H137" i="27"/>
  <c r="G137" i="27"/>
  <c r="G140" i="27"/>
  <c r="H140" i="27"/>
  <c r="H126" i="27"/>
  <c r="G126" i="27"/>
  <c r="C126" i="27"/>
  <c r="M126" i="27" s="1"/>
  <c r="D233" i="35"/>
  <c r="O232" i="35"/>
  <c r="M232" i="35"/>
  <c r="K232" i="35"/>
  <c r="G232" i="35"/>
  <c r="D232" i="35"/>
  <c r="C232" i="35"/>
  <c r="J231" i="35"/>
  <c r="L232" i="35" s="1"/>
  <c r="G231" i="35"/>
  <c r="C231" i="35"/>
  <c r="H90" i="27" l="1"/>
  <c r="G90" i="27"/>
  <c r="H91" i="27"/>
  <c r="G91" i="27"/>
  <c r="H119" i="27"/>
  <c r="G119" i="27"/>
  <c r="C120" i="27"/>
  <c r="L112" i="27"/>
  <c r="I120" i="27"/>
  <c r="C116" i="27"/>
  <c r="D112" i="27"/>
  <c r="D113" i="27"/>
  <c r="G117" i="27"/>
  <c r="H117" i="27"/>
  <c r="G73" i="27"/>
  <c r="H73" i="27"/>
  <c r="C118" i="27"/>
  <c r="G118" i="27"/>
  <c r="H118" i="27"/>
  <c r="C74" i="27"/>
  <c r="L66" i="27"/>
  <c r="I74" i="27"/>
  <c r="D66" i="27"/>
  <c r="C70" i="27"/>
  <c r="D67" i="27"/>
  <c r="C72" i="27"/>
  <c r="H72" i="27"/>
  <c r="G72" i="27"/>
  <c r="C93" i="27"/>
  <c r="L85" i="27"/>
  <c r="C89" i="27"/>
  <c r="D86" i="27"/>
  <c r="I93" i="27"/>
  <c r="D85" i="27"/>
  <c r="H36" i="27"/>
  <c r="G36" i="27"/>
  <c r="G92" i="27"/>
  <c r="H92" i="27"/>
  <c r="H37" i="27"/>
  <c r="G37" i="27"/>
  <c r="C35" i="27"/>
  <c r="D32" i="27"/>
  <c r="C39" i="27"/>
  <c r="L31" i="27"/>
  <c r="D31" i="27"/>
  <c r="I39" i="27"/>
  <c r="C32" i="27"/>
  <c r="D5" i="27"/>
  <c r="I11" i="27"/>
  <c r="D4" i="27"/>
  <c r="C11" i="27"/>
  <c r="L4" i="27"/>
  <c r="C8" i="27"/>
  <c r="L38" i="27"/>
  <c r="H38" i="27"/>
  <c r="G38" i="27"/>
  <c r="C10" i="27"/>
  <c r="G10" i="27"/>
  <c r="H10" i="27"/>
  <c r="G9" i="27"/>
  <c r="H9" i="27"/>
  <c r="K179" i="27"/>
  <c r="B310" i="35"/>
  <c r="B314" i="35" s="1"/>
  <c r="A310" i="35"/>
  <c r="K176" i="27"/>
  <c r="K175" i="27"/>
  <c r="E233" i="35"/>
  <c r="D136" i="27"/>
  <c r="D145" i="27" s="1"/>
  <c r="M136" i="27"/>
  <c r="K136" i="27" s="1"/>
  <c r="J226" i="14" a="1"/>
  <c r="J226" i="14" s="1"/>
  <c r="I226" i="14" s="1"/>
  <c r="H131" i="27"/>
  <c r="G131" i="27"/>
  <c r="D141" i="27"/>
  <c r="D230" i="35"/>
  <c r="O229" i="35"/>
  <c r="M229" i="35"/>
  <c r="K229" i="35"/>
  <c r="G229" i="35"/>
  <c r="D229" i="35"/>
  <c r="C229" i="35"/>
  <c r="J228" i="35"/>
  <c r="L229" i="35" s="1"/>
  <c r="G228" i="35"/>
  <c r="C228" i="35"/>
  <c r="M116" i="27" l="1"/>
  <c r="K116" i="27" s="1"/>
  <c r="D116" i="27"/>
  <c r="D39" i="27"/>
  <c r="L39" i="27" s="1"/>
  <c r="G31" i="27"/>
  <c r="D43" i="27"/>
  <c r="L43" i="27" s="1"/>
  <c r="H31" i="27"/>
  <c r="G4" i="27"/>
  <c r="H4" i="27"/>
  <c r="D11" i="27"/>
  <c r="L11" i="27" s="1"/>
  <c r="D15" i="27"/>
  <c r="L15" i="27" s="1"/>
  <c r="K67" i="27"/>
  <c r="M65" i="27" s="1"/>
  <c r="D76" i="27"/>
  <c r="D70" i="27"/>
  <c r="M70" i="27"/>
  <c r="K70" i="27" s="1"/>
  <c r="D122" i="27"/>
  <c r="K113" i="27"/>
  <c r="M111" i="27" s="1"/>
  <c r="K5" i="27"/>
  <c r="M3" i="27" s="1"/>
  <c r="D13" i="27"/>
  <c r="H66" i="27"/>
  <c r="G66" i="27"/>
  <c r="D74" i="27"/>
  <c r="L74" i="27" s="1"/>
  <c r="D78" i="27"/>
  <c r="H112" i="27"/>
  <c r="G112" i="27"/>
  <c r="D120" i="27"/>
  <c r="L120" i="27" s="1"/>
  <c r="D124" i="27"/>
  <c r="L124" i="27" s="1"/>
  <c r="D93" i="27"/>
  <c r="L93" i="27" s="1"/>
  <c r="H85" i="27"/>
  <c r="G85" i="27"/>
  <c r="D97" i="27"/>
  <c r="L97" i="27" s="1"/>
  <c r="D95" i="27"/>
  <c r="K86" i="27"/>
  <c r="M84" i="27" s="1"/>
  <c r="D89" i="27"/>
  <c r="M89" i="27"/>
  <c r="K89" i="27" s="1"/>
  <c r="D41" i="27"/>
  <c r="K32" i="27"/>
  <c r="M30" i="27" s="1"/>
  <c r="D8" i="27"/>
  <c r="M8" i="27"/>
  <c r="D35" i="27"/>
  <c r="M35" i="27"/>
  <c r="K35" i="27" s="1"/>
  <c r="B318" i="35"/>
  <c r="B322" i="35" s="1"/>
  <c r="B326" i="35" s="1"/>
  <c r="A314" i="35"/>
  <c r="A318" i="35"/>
  <c r="E230" i="35"/>
  <c r="J227" i="14" a="1"/>
  <c r="J227" i="14" s="1"/>
  <c r="I227" i="14" s="1"/>
  <c r="J228" i="14" s="1" a="1"/>
  <c r="J228" i="14" s="1"/>
  <c r="I228" i="14" s="1"/>
  <c r="J229" i="14" s="1" a="1"/>
  <c r="J229" i="14" s="1"/>
  <c r="I229" i="14" s="1"/>
  <c r="J230" i="14" s="1" a="1"/>
  <c r="J230" i="14" s="1"/>
  <c r="I230" i="14" s="1"/>
  <c r="J231" i="14" s="1" a="1"/>
  <c r="J231" i="14" s="1"/>
  <c r="I231" i="14" s="1"/>
  <c r="J232" i="14" s="1" a="1"/>
  <c r="J232" i="14" s="1"/>
  <c r="I232" i="14" s="1"/>
  <c r="J233" i="14" s="1" a="1"/>
  <c r="J233" i="14" s="1"/>
  <c r="I233" i="14" s="1"/>
  <c r="J234" i="14" s="1" a="1"/>
  <c r="J234" i="14" s="1"/>
  <c r="I234" i="14" s="1"/>
  <c r="J235" i="14" s="1" a="1"/>
  <c r="J235" i="14" s="1"/>
  <c r="I235" i="14" s="1"/>
  <c r="J236" i="14" s="1" a="1"/>
  <c r="J236" i="14" s="1"/>
  <c r="I236" i="14" s="1"/>
  <c r="J237" i="14" s="1" a="1"/>
  <c r="J237" i="14" s="1"/>
  <c r="I237" i="14" s="1"/>
  <c r="J238" i="14" s="1" a="1"/>
  <c r="J238" i="14" s="1"/>
  <c r="I238" i="14" s="1"/>
  <c r="J239" i="14" s="1" a="1"/>
  <c r="J239" i="14" s="1"/>
  <c r="I239" i="14" s="1"/>
  <c r="J240" i="14" s="1" a="1"/>
  <c r="J240" i="14" s="1"/>
  <c r="I240" i="14" s="1"/>
  <c r="J241" i="14" s="1" a="1"/>
  <c r="J241" i="14" s="1"/>
  <c r="I241" i="14" s="1"/>
  <c r="J242" i="14" s="1" a="1"/>
  <c r="J242" i="14" s="1"/>
  <c r="I242" i="14" s="1"/>
  <c r="J243" i="14" s="1" a="1"/>
  <c r="J243" i="14" s="1"/>
  <c r="I243" i="14" s="1"/>
  <c r="J244" i="14" s="1" a="1"/>
  <c r="J244" i="14" s="1"/>
  <c r="I244" i="14" s="1"/>
  <c r="J245" i="14" s="1" a="1"/>
  <c r="J245" i="14" s="1"/>
  <c r="I245" i="14" s="1"/>
  <c r="J246" i="14" s="1" a="1"/>
  <c r="J246" i="14" s="1"/>
  <c r="I246" i="14" s="1"/>
  <c r="J247" i="14" s="1" a="1"/>
  <c r="J247" i="14" s="1"/>
  <c r="I247" i="14" s="1"/>
  <c r="J248" i="14" s="1" a="1"/>
  <c r="J248" i="14" s="1"/>
  <c r="I248" i="14" s="1"/>
  <c r="J249" i="14" s="1" a="1"/>
  <c r="J249" i="14" s="1"/>
  <c r="I249" i="14" s="1"/>
  <c r="J250" i="14" s="1" a="1"/>
  <c r="J250" i="14" s="1"/>
  <c r="I250" i="14" s="1"/>
  <c r="J251" i="14" s="1" a="1"/>
  <c r="J251" i="14" s="1"/>
  <c r="I251" i="14" s="1"/>
  <c r="J252" i="14" s="1" a="1"/>
  <c r="J252" i="14" s="1"/>
  <c r="I252" i="14" s="1"/>
  <c r="J253" i="14" s="1" a="1"/>
  <c r="J253" i="14" s="1"/>
  <c r="I253" i="14" s="1"/>
  <c r="J254" i="14" s="1" a="1"/>
  <c r="J254" i="14" s="1"/>
  <c r="I254" i="14" s="1"/>
  <c r="J255" i="14" s="1" a="1"/>
  <c r="J255" i="14" s="1"/>
  <c r="I255" i="14" s="1"/>
  <c r="J256" i="14" s="1" a="1"/>
  <c r="J256" i="14" s="1"/>
  <c r="I256" i="14" s="1"/>
  <c r="J257" i="14" s="1" a="1"/>
  <c r="J257" i="14" s="1"/>
  <c r="I257" i="14" s="1"/>
  <c r="J258" i="14" s="1" a="1"/>
  <c r="J258" i="14" s="1"/>
  <c r="I258" i="14" s="1"/>
  <c r="J259" i="14" s="1" a="1"/>
  <c r="J259" i="14" s="1"/>
  <c r="I259" i="14" s="1"/>
  <c r="J260" i="14" s="1" a="1"/>
  <c r="J260" i="14" s="1"/>
  <c r="I260" i="14" s="1"/>
  <c r="J261" i="14" s="1" a="1"/>
  <c r="J261" i="14" s="1"/>
  <c r="I261" i="14" s="1"/>
  <c r="J262" i="14" s="1" a="1"/>
  <c r="J262" i="14" s="1"/>
  <c r="I262" i="14" s="1"/>
  <c r="J263" i="14" s="1" a="1"/>
  <c r="J263" i="14" s="1"/>
  <c r="I263" i="14" s="1"/>
  <c r="J264" i="14" s="1" a="1"/>
  <c r="J264" i="14" s="1"/>
  <c r="I264" i="14" s="1"/>
  <c r="J265" i="14" s="1" a="1"/>
  <c r="J265" i="14" s="1"/>
  <c r="I265" i="14" s="1"/>
  <c r="J266" i="14" s="1" a="1"/>
  <c r="J266" i="14" s="1"/>
  <c r="I266" i="14" s="1"/>
  <c r="J267" i="14" s="1" a="1"/>
  <c r="J267" i="14" s="1"/>
  <c r="I267" i="14" s="1"/>
  <c r="J268" i="14" s="1" a="1"/>
  <c r="J268" i="14" s="1"/>
  <c r="I268" i="14" s="1"/>
  <c r="J269" i="14" s="1" a="1"/>
  <c r="J269" i="14" s="1"/>
  <c r="I269" i="14" s="1"/>
  <c r="J270" i="14" s="1" a="1"/>
  <c r="J270" i="14" s="1"/>
  <c r="I270" i="14" s="1"/>
  <c r="J271" i="14" s="1" a="1"/>
  <c r="J271" i="14" s="1"/>
  <c r="I271" i="14" s="1"/>
  <c r="J272" i="14" s="1" a="1"/>
  <c r="J272" i="14" s="1"/>
  <c r="I272" i="14" s="1"/>
  <c r="J273" i="14" s="1" a="1"/>
  <c r="J273" i="14" s="1"/>
  <c r="I273" i="14" s="1"/>
  <c r="J274" i="14" s="1" a="1"/>
  <c r="J274" i="14" s="1"/>
  <c r="I274" i="14" s="1"/>
  <c r="J275" i="14" s="1" a="1"/>
  <c r="J275" i="14" s="1"/>
  <c r="I275" i="14" s="1"/>
  <c r="J276" i="14" s="1" a="1"/>
  <c r="J276" i="14" s="1"/>
  <c r="I276" i="14" s="1"/>
  <c r="J277" i="14" s="1" a="1"/>
  <c r="J277" i="14" s="1"/>
  <c r="I277" i="14" s="1"/>
  <c r="J278" i="14" s="1" a="1"/>
  <c r="J278" i="14" s="1"/>
  <c r="I278" i="14" s="1"/>
  <c r="J279" i="14" s="1" a="1"/>
  <c r="J279" i="14" s="1"/>
  <c r="I279" i="14" s="1"/>
  <c r="J280" i="14" s="1" a="1"/>
  <c r="J280" i="14" s="1"/>
  <c r="I280" i="14" s="1"/>
  <c r="J281" i="14" s="1" a="1"/>
  <c r="J281" i="14" s="1"/>
  <c r="I281" i="14" s="1"/>
  <c r="J282" i="14" s="1" a="1"/>
  <c r="J282" i="14" s="1"/>
  <c r="I282" i="14" s="1"/>
  <c r="J283" i="14" s="1" a="1"/>
  <c r="J283" i="14" s="1"/>
  <c r="I283" i="14" s="1"/>
  <c r="J284" i="14" s="1" a="1"/>
  <c r="J284" i="14" s="1"/>
  <c r="I284" i="14" s="1"/>
  <c r="J285" i="14" s="1" a="1"/>
  <c r="J285" i="14" s="1"/>
  <c r="I285" i="14" s="1"/>
  <c r="J286" i="14" s="1" a="1"/>
  <c r="J286" i="14" s="1"/>
  <c r="I286" i="14" s="1"/>
  <c r="J287" i="14" s="1" a="1"/>
  <c r="J287" i="14" s="1"/>
  <c r="I287" i="14" s="1"/>
  <c r="J288" i="14" s="1" a="1"/>
  <c r="J288" i="14" s="1"/>
  <c r="I288" i="14" s="1"/>
  <c r="J289" i="14" s="1" a="1"/>
  <c r="J289" i="14" s="1"/>
  <c r="I289" i="14" s="1"/>
  <c r="J290" i="14" s="1" a="1"/>
  <c r="J290" i="14" s="1"/>
  <c r="I290" i="14" s="1"/>
  <c r="J291" i="14" s="1" a="1"/>
  <c r="J291" i="14" s="1"/>
  <c r="I291" i="14" s="1"/>
  <c r="J292" i="14" s="1" a="1"/>
  <c r="J292" i="14" s="1"/>
  <c r="I292" i="14" s="1"/>
  <c r="J293" i="14" s="1" a="1"/>
  <c r="J293" i="14" s="1"/>
  <c r="I293" i="14" s="1"/>
  <c r="J294" i="14" s="1" a="1"/>
  <c r="J294" i="14" s="1"/>
  <c r="I294" i="14" s="1"/>
  <c r="J295" i="14" s="1" a="1"/>
  <c r="J295" i="14" s="1"/>
  <c r="I295" i="14" s="1"/>
  <c r="J296" i="14" s="1" a="1"/>
  <c r="J296" i="14" s="1"/>
  <c r="I296" i="14" s="1"/>
  <c r="J297" i="14" s="1" a="1"/>
  <c r="J297" i="14" s="1"/>
  <c r="I297" i="14" s="1"/>
  <c r="J298" i="14" s="1" a="1"/>
  <c r="J298" i="14" s="1"/>
  <c r="I298" i="14" s="1"/>
  <c r="J299" i="14" s="1" a="1"/>
  <c r="J299" i="14" s="1"/>
  <c r="I299" i="14" s="1"/>
  <c r="J300" i="14" s="1" a="1"/>
  <c r="J300" i="14" s="1"/>
  <c r="I300" i="14" s="1"/>
  <c r="J301" i="14" s="1" a="1"/>
  <c r="J301" i="14" s="1"/>
  <c r="I301" i="14" s="1"/>
  <c r="J302" i="14" s="1" a="1"/>
  <c r="J302" i="14" s="1"/>
  <c r="I302" i="14" s="1"/>
  <c r="J303" i="14" s="1" a="1"/>
  <c r="J303" i="14" s="1"/>
  <c r="I303" i="14" s="1"/>
  <c r="J304" i="14" s="1" a="1"/>
  <c r="J304" i="14" s="1"/>
  <c r="I304" i="14" s="1"/>
  <c r="J305" i="14" s="1" a="1"/>
  <c r="J305" i="14" s="1"/>
  <c r="I305" i="14" s="1"/>
  <c r="J306" i="14" s="1" a="1"/>
  <c r="J306" i="14" s="1"/>
  <c r="I306" i="14" s="1"/>
  <c r="J307" i="14" s="1" a="1"/>
  <c r="J307" i="14" s="1"/>
  <c r="I307" i="14" s="1"/>
  <c r="J308" i="14" s="1" a="1"/>
  <c r="J308" i="14" s="1"/>
  <c r="I308" i="14" s="1"/>
  <c r="J309" i="14" s="1" a="1"/>
  <c r="J309" i="14" s="1"/>
  <c r="I309" i="14" s="1"/>
  <c r="J310" i="14" s="1" a="1"/>
  <c r="J310" i="14" s="1"/>
  <c r="I310" i="14" s="1"/>
  <c r="J311" i="14" s="1" a="1"/>
  <c r="J311" i="14" s="1"/>
  <c r="I311" i="14" s="1"/>
  <c r="J312" i="14" s="1" a="1"/>
  <c r="J312" i="14" s="1"/>
  <c r="I312" i="14" s="1"/>
  <c r="J313" i="14" s="1" a="1"/>
  <c r="J313" i="14" s="1"/>
  <c r="I313" i="14" s="1"/>
  <c r="J314" i="14" s="1" a="1"/>
  <c r="J314" i="14" s="1"/>
  <c r="I314" i="14" s="1"/>
  <c r="J315" i="14" s="1" a="1"/>
  <c r="J315" i="14" s="1"/>
  <c r="I315" i="14" s="1"/>
  <c r="J316" i="14" s="1" a="1"/>
  <c r="J316" i="14" s="1"/>
  <c r="I316" i="14" s="1"/>
  <c r="J317" i="14" s="1" a="1"/>
  <c r="J317" i="14" s="1"/>
  <c r="I317" i="14" s="1"/>
  <c r="J318" i="14" s="1" a="1"/>
  <c r="J318" i="14" s="1"/>
  <c r="I318" i="14" s="1"/>
  <c r="J319" i="14" s="1" a="1"/>
  <c r="J319" i="14" s="1"/>
  <c r="I319" i="14" s="1"/>
  <c r="J320" i="14" s="1" a="1"/>
  <c r="J320" i="14" s="1"/>
  <c r="I320" i="14" s="1"/>
  <c r="J321" i="14" s="1" a="1"/>
  <c r="J321" i="14" s="1"/>
  <c r="I321" i="14" s="1"/>
  <c r="J322" i="14" s="1" a="1"/>
  <c r="J322" i="14" s="1"/>
  <c r="I322" i="14" s="1"/>
  <c r="J323" i="14" s="1" a="1"/>
  <c r="J323" i="14" s="1"/>
  <c r="I323" i="14" s="1"/>
  <c r="J324" i="14" s="1" a="1"/>
  <c r="J324" i="14" s="1"/>
  <c r="I324" i="14" s="1"/>
  <c r="J325" i="14" s="1" a="1"/>
  <c r="J325" i="14" s="1"/>
  <c r="I325" i="14" s="1"/>
  <c r="J326" i="14" s="1" a="1"/>
  <c r="J326" i="14" s="1"/>
  <c r="I326" i="14" s="1"/>
  <c r="J327" i="14" s="1" a="1"/>
  <c r="J327" i="14" s="1"/>
  <c r="I327" i="14" s="1"/>
  <c r="J328" i="14" s="1" a="1"/>
  <c r="J328" i="14" s="1"/>
  <c r="I328" i="14" s="1"/>
  <c r="J329" i="14" s="1" a="1"/>
  <c r="J329" i="14" s="1"/>
  <c r="I329" i="14" s="1"/>
  <c r="J330" i="14" s="1" a="1"/>
  <c r="J330" i="14" s="1"/>
  <c r="I330" i="14" s="1"/>
  <c r="J331" i="14" s="1" a="1"/>
  <c r="J331" i="14" s="1"/>
  <c r="I331" i="14" s="1"/>
  <c r="J332" i="14" s="1" a="1"/>
  <c r="J332" i="14" s="1"/>
  <c r="I332" i="14" s="1"/>
  <c r="J333" i="14" s="1" a="1"/>
  <c r="J333" i="14" s="1"/>
  <c r="I333" i="14" s="1"/>
  <c r="J334" i="14" s="1" a="1"/>
  <c r="J334" i="14" s="1"/>
  <c r="I334" i="14" s="1"/>
  <c r="J335" i="14" s="1" a="1"/>
  <c r="J335" i="14" s="1"/>
  <c r="I335" i="14" s="1"/>
  <c r="J336" i="14" s="1" a="1"/>
  <c r="J336" i="14" s="1"/>
  <c r="I336" i="14" s="1"/>
  <c r="J337" i="14" s="1" a="1"/>
  <c r="J337" i="14" s="1"/>
  <c r="I337" i="14" s="1"/>
  <c r="J338" i="14" s="1" a="1"/>
  <c r="J338" i="14" s="1"/>
  <c r="I338" i="14" s="1"/>
  <c r="J339" i="14" s="1" a="1"/>
  <c r="J339" i="14" s="1"/>
  <c r="I339" i="14" s="1"/>
  <c r="J340" i="14" s="1" a="1"/>
  <c r="J340" i="14" s="1"/>
  <c r="I340" i="14" s="1"/>
  <c r="J341" i="14" s="1" a="1"/>
  <c r="J341" i="14" s="1"/>
  <c r="I341" i="14" s="1"/>
  <c r="J342" i="14" s="1" a="1"/>
  <c r="J342" i="14" s="1"/>
  <c r="I342" i="14" s="1"/>
  <c r="J343" i="14" s="1" a="1"/>
  <c r="J343" i="14" s="1"/>
  <c r="I343" i="14" s="1"/>
  <c r="J344" i="14" s="1" a="1"/>
  <c r="J344" i="14" s="1"/>
  <c r="I344" i="14" s="1"/>
  <c r="J345" i="14" s="1" a="1"/>
  <c r="J345" i="14" s="1"/>
  <c r="I345" i="14" s="1"/>
  <c r="J346" i="14" s="1" a="1"/>
  <c r="J346" i="14" s="1"/>
  <c r="I346" i="14" s="1"/>
  <c r="J347" i="14" s="1" a="1"/>
  <c r="J347" i="14" s="1"/>
  <c r="I347" i="14" s="1"/>
  <c r="J348" i="14" s="1" a="1"/>
  <c r="J348" i="14" s="1"/>
  <c r="I348" i="14" s="1"/>
  <c r="J349" i="14" s="1" a="1"/>
  <c r="J349" i="14" s="1"/>
  <c r="I349" i="14" s="1"/>
  <c r="J350" i="14" s="1" a="1"/>
  <c r="J350" i="14" s="1"/>
  <c r="I350" i="14" s="1"/>
  <c r="J351" i="14" s="1" a="1"/>
  <c r="J351" i="14" s="1"/>
  <c r="I351" i="14" s="1"/>
  <c r="J352" i="14" s="1" a="1"/>
  <c r="J352" i="14" s="1"/>
  <c r="I352" i="14" s="1"/>
  <c r="J353" i="14" s="1" a="1"/>
  <c r="J353" i="14" s="1"/>
  <c r="I353" i="14" s="1"/>
  <c r="J354" i="14" s="1" a="1"/>
  <c r="J354" i="14" s="1"/>
  <c r="I354" i="14" s="1"/>
  <c r="J355" i="14" s="1" a="1"/>
  <c r="J355" i="14" s="1"/>
  <c r="I355" i="14" s="1"/>
  <c r="J356" i="14" s="1" a="1"/>
  <c r="J356" i="14" s="1"/>
  <c r="I356" i="14" s="1"/>
  <c r="J357" i="14" s="1" a="1"/>
  <c r="J357" i="14" s="1"/>
  <c r="I357" i="14" s="1"/>
  <c r="J358" i="14" s="1" a="1"/>
  <c r="J358" i="14" s="1"/>
  <c r="I358" i="14" s="1"/>
  <c r="J359" i="14" s="1" a="1"/>
  <c r="J359" i="14" s="1"/>
  <c r="I359" i="14" s="1"/>
  <c r="J360" i="14" s="1" a="1"/>
  <c r="J360" i="14" s="1"/>
  <c r="I360" i="14" s="1"/>
  <c r="J361" i="14" s="1" a="1"/>
  <c r="J361" i="14" s="1"/>
  <c r="I361" i="14" s="1"/>
  <c r="J362" i="14" s="1" a="1"/>
  <c r="J362" i="14" s="1"/>
  <c r="I362" i="14" s="1"/>
  <c r="J363" i="14" s="1" a="1"/>
  <c r="J363" i="14" s="1"/>
  <c r="I363" i="14" s="1"/>
  <c r="J364" i="14" s="1" a="1"/>
  <c r="J364" i="14" s="1"/>
  <c r="I364" i="14" s="1"/>
  <c r="J365" i="14" s="1" a="1"/>
  <c r="J365" i="14" s="1"/>
  <c r="I365" i="14" s="1"/>
  <c r="J366" i="14" s="1" a="1"/>
  <c r="J366" i="14" s="1"/>
  <c r="I366" i="14" s="1"/>
  <c r="J367" i="14" s="1" a="1"/>
  <c r="J367" i="14" s="1"/>
  <c r="I367" i="14" s="1"/>
  <c r="J368" i="14" s="1" a="1"/>
  <c r="J368" i="14" s="1"/>
  <c r="I368" i="14" s="1"/>
  <c r="J369" i="14" s="1" a="1"/>
  <c r="J369" i="14" s="1"/>
  <c r="I369" i="14" s="1"/>
  <c r="J370" i="14" s="1" a="1"/>
  <c r="J370" i="14" s="1"/>
  <c r="I370" i="14" s="1"/>
  <c r="J371" i="14" s="1" a="1"/>
  <c r="J371" i="14" s="1"/>
  <c r="I371" i="14" s="1"/>
  <c r="J372" i="14" s="1" a="1"/>
  <c r="J372" i="14" s="1"/>
  <c r="I372" i="14" s="1"/>
  <c r="J373" i="14" s="1" a="1"/>
  <c r="J373" i="14" s="1"/>
  <c r="I373" i="14" s="1"/>
  <c r="J374" i="14" s="1" a="1"/>
  <c r="J374" i="14" s="1"/>
  <c r="I374" i="14" s="1"/>
  <c r="J375" i="14" s="1" a="1"/>
  <c r="J375" i="14" s="1"/>
  <c r="I375" i="14" s="1"/>
  <c r="J376" i="14" s="1" a="1"/>
  <c r="J376" i="14" s="1"/>
  <c r="I376" i="14" s="1"/>
  <c r="J377" i="14" s="1" a="1"/>
  <c r="J377" i="14" s="1"/>
  <c r="I377" i="14" s="1"/>
  <c r="J378" i="14" s="1" a="1"/>
  <c r="J378" i="14" s="1"/>
  <c r="I378" i="14" s="1"/>
  <c r="J379" i="14" s="1" a="1"/>
  <c r="J379" i="14" s="1"/>
  <c r="I379" i="14" s="1"/>
  <c r="J380" i="14" s="1" a="1"/>
  <c r="J380" i="14" s="1"/>
  <c r="I380" i="14" s="1"/>
  <c r="J381" i="14" s="1" a="1"/>
  <c r="J381" i="14" s="1"/>
  <c r="I381" i="14" s="1"/>
  <c r="J382" i="14" s="1" a="1"/>
  <c r="J382" i="14" s="1"/>
  <c r="I382" i="14" s="1"/>
  <c r="J383" i="14" s="1" a="1"/>
  <c r="J383" i="14" s="1"/>
  <c r="I383" i="14" s="1"/>
  <c r="J384" i="14" s="1" a="1"/>
  <c r="J384" i="14" s="1"/>
  <c r="I384" i="14" s="1"/>
  <c r="J385" i="14" s="1" a="1"/>
  <c r="J385" i="14" s="1"/>
  <c r="I385" i="14" s="1"/>
  <c r="J386" i="14" s="1" a="1"/>
  <c r="J386" i="14" s="1"/>
  <c r="I386" i="14" s="1"/>
  <c r="J387" i="14" s="1" a="1"/>
  <c r="J387" i="14" s="1"/>
  <c r="I387" i="14" s="1"/>
  <c r="J388" i="14" s="1" a="1"/>
  <c r="J388" i="14" s="1"/>
  <c r="I388" i="14" s="1"/>
  <c r="J389" i="14" s="1" a="1"/>
  <c r="J389" i="14" s="1"/>
  <c r="I389" i="14" s="1"/>
  <c r="J390" i="14" s="1" a="1"/>
  <c r="J390" i="14" s="1"/>
  <c r="I390" i="14" s="1"/>
  <c r="J391" i="14" s="1" a="1"/>
  <c r="J391" i="14" s="1"/>
  <c r="I391" i="14" s="1"/>
  <c r="J392" i="14" s="1" a="1"/>
  <c r="J392" i="14" s="1"/>
  <c r="I392" i="14" s="1"/>
  <c r="J393" i="14" s="1" a="1"/>
  <c r="J393" i="14" s="1"/>
  <c r="I393" i="14" s="1"/>
  <c r="J394" i="14" s="1" a="1"/>
  <c r="J394" i="14" s="1"/>
  <c r="I394" i="14" s="1"/>
  <c r="J395" i="14" s="1" a="1"/>
  <c r="J395" i="14" s="1"/>
  <c r="I395" i="14" s="1"/>
  <c r="J396" i="14" s="1" a="1"/>
  <c r="J396" i="14" s="1"/>
  <c r="I396" i="14" s="1"/>
  <c r="J397" i="14" s="1" a="1"/>
  <c r="J397" i="14" s="1"/>
  <c r="I397" i="14" s="1"/>
  <c r="J398" i="14" s="1" a="1"/>
  <c r="J398" i="14" s="1"/>
  <c r="I398" i="14" s="1"/>
  <c r="J399" i="14" s="1" a="1"/>
  <c r="J399" i="14" s="1"/>
  <c r="I399" i="14" s="1"/>
  <c r="J400" i="14" s="1" a="1"/>
  <c r="J400" i="14" s="1"/>
  <c r="I400" i="14" s="1"/>
  <c r="J401" i="14" s="1" a="1"/>
  <c r="J401" i="14" s="1"/>
  <c r="I401" i="14" s="1"/>
  <c r="J402" i="14" s="1" a="1"/>
  <c r="J402" i="14" s="1"/>
  <c r="I402" i="14" s="1"/>
  <c r="J403" i="14" s="1" a="1"/>
  <c r="J403" i="14" s="1"/>
  <c r="I403" i="14" s="1"/>
  <c r="J404" i="14" s="1" a="1"/>
  <c r="J404" i="14" s="1"/>
  <c r="I404" i="14" s="1"/>
  <c r="J405" i="14" s="1" a="1"/>
  <c r="J405" i="14" s="1"/>
  <c r="I405" i="14" s="1"/>
  <c r="J406" i="14" s="1" a="1"/>
  <c r="J406" i="14" s="1"/>
  <c r="I406" i="14" s="1"/>
  <c r="J407" i="14" s="1" a="1"/>
  <c r="J407" i="14" s="1"/>
  <c r="I407" i="14" s="1"/>
  <c r="J408" i="14" s="1" a="1"/>
  <c r="J408" i="14" s="1"/>
  <c r="I408" i="14" s="1"/>
  <c r="J409" i="14" s="1" a="1"/>
  <c r="J409" i="14" s="1"/>
  <c r="I409" i="14" s="1"/>
  <c r="J410" i="14" s="1" a="1"/>
  <c r="J410" i="14" s="1"/>
  <c r="I410" i="14" s="1"/>
  <c r="J411" i="14" s="1" a="1"/>
  <c r="J411" i="14" s="1"/>
  <c r="I411" i="14" s="1"/>
  <c r="J412" i="14" s="1" a="1"/>
  <c r="J412" i="14" s="1"/>
  <c r="I412" i="14" s="1"/>
  <c r="J413" i="14" s="1" a="1"/>
  <c r="J413" i="14" s="1"/>
  <c r="I413" i="14" s="1"/>
  <c r="J414" i="14" s="1" a="1"/>
  <c r="J414" i="14" s="1"/>
  <c r="I414" i="14" s="1"/>
  <c r="J415" i="14" s="1" a="1"/>
  <c r="J415" i="14" s="1"/>
  <c r="I415" i="14" s="1"/>
  <c r="J416" i="14" s="1" a="1"/>
  <c r="J416" i="14" s="1"/>
  <c r="I416" i="14" s="1"/>
  <c r="J417" i="14" s="1" a="1"/>
  <c r="J417" i="14" s="1"/>
  <c r="I417" i="14" s="1"/>
  <c r="J418" i="14" s="1" a="1"/>
  <c r="J418" i="14" s="1"/>
  <c r="I418" i="14" s="1"/>
  <c r="J419" i="14" s="1" a="1"/>
  <c r="J419" i="14" s="1"/>
  <c r="I419" i="14" s="1"/>
  <c r="J420" i="14" s="1" a="1"/>
  <c r="J420" i="14" s="1"/>
  <c r="I420" i="14" s="1"/>
  <c r="J421" i="14" s="1" a="1"/>
  <c r="J421" i="14" s="1"/>
  <c r="I421" i="14" s="1"/>
  <c r="J422" i="14" s="1" a="1"/>
  <c r="J422" i="14" s="1"/>
  <c r="I422" i="14" s="1"/>
  <c r="G136" i="27"/>
  <c r="H136" i="27"/>
  <c r="H141" i="27"/>
  <c r="G141" i="27"/>
  <c r="L141" i="27"/>
  <c r="H145" i="27"/>
  <c r="G145" i="27"/>
  <c r="L145" i="27"/>
  <c r="L136" i="27"/>
  <c r="D227" i="35"/>
  <c r="O226" i="35"/>
  <c r="M226" i="35"/>
  <c r="K226" i="35"/>
  <c r="G226" i="35"/>
  <c r="D226" i="35"/>
  <c r="C226" i="35"/>
  <c r="J225" i="35"/>
  <c r="G225" i="35"/>
  <c r="C225" i="35"/>
  <c r="L89" i="27" l="1"/>
  <c r="L35" i="27"/>
  <c r="L70" i="27"/>
  <c r="G95" i="27"/>
  <c r="H95" i="27"/>
  <c r="H74" i="27"/>
  <c r="G74" i="27"/>
  <c r="G15" i="27"/>
  <c r="H15" i="27"/>
  <c r="H11" i="27"/>
  <c r="G11" i="27"/>
  <c r="D110" i="27"/>
  <c r="G13" i="27"/>
  <c r="H13" i="27"/>
  <c r="G35" i="27"/>
  <c r="H35" i="27"/>
  <c r="K8" i="27"/>
  <c r="L8" i="27"/>
  <c r="L3" i="27"/>
  <c r="K3" i="27"/>
  <c r="D56" i="27"/>
  <c r="H97" i="27"/>
  <c r="G97" i="27"/>
  <c r="H8" i="27"/>
  <c r="G8" i="27"/>
  <c r="D21" i="27"/>
  <c r="H93" i="27"/>
  <c r="G93" i="27"/>
  <c r="L111" i="27"/>
  <c r="K111" i="27"/>
  <c r="L30" i="27"/>
  <c r="K30" i="27"/>
  <c r="G124" i="27"/>
  <c r="H124" i="27"/>
  <c r="G122" i="27"/>
  <c r="H122" i="27"/>
  <c r="G43" i="27"/>
  <c r="H43" i="27"/>
  <c r="H120" i="27"/>
  <c r="G120" i="27"/>
  <c r="H41" i="27"/>
  <c r="G41" i="27"/>
  <c r="G39" i="27"/>
  <c r="H39" i="27"/>
  <c r="G70" i="27"/>
  <c r="H70" i="27"/>
  <c r="H116" i="27"/>
  <c r="D129" i="27"/>
  <c r="G116" i="27"/>
  <c r="G89" i="27"/>
  <c r="H89" i="27"/>
  <c r="L78" i="27"/>
  <c r="H78" i="27"/>
  <c r="G78" i="27"/>
  <c r="G76" i="27"/>
  <c r="H76" i="27"/>
  <c r="L116" i="27"/>
  <c r="L84" i="27"/>
  <c r="K84" i="27"/>
  <c r="D83" i="27"/>
  <c r="K65" i="27"/>
  <c r="L65" i="27"/>
  <c r="E227" i="35"/>
  <c r="L226" i="35"/>
  <c r="A322" i="35"/>
  <c r="A333" i="35"/>
  <c r="A326" i="35"/>
  <c r="B333" i="35"/>
  <c r="A340" i="35" s="1"/>
  <c r="D224" i="35"/>
  <c r="O223" i="35"/>
  <c r="M223" i="35"/>
  <c r="K223" i="35"/>
  <c r="G223" i="35"/>
  <c r="D223" i="35"/>
  <c r="C223" i="35"/>
  <c r="J222" i="35"/>
  <c r="L223" i="35" s="1"/>
  <c r="G222" i="35"/>
  <c r="C222" i="35"/>
  <c r="G83" i="27" l="1"/>
  <c r="G110" i="27"/>
  <c r="H83" i="27"/>
  <c r="H129" i="27"/>
  <c r="H110" i="27"/>
  <c r="G21" i="27"/>
  <c r="H21" i="27"/>
  <c r="H56" i="27"/>
  <c r="G56" i="27"/>
  <c r="G129" i="27"/>
  <c r="B340" i="35"/>
  <c r="E224" i="35"/>
  <c r="D221" i="35"/>
  <c r="O220" i="35"/>
  <c r="M220" i="35"/>
  <c r="K220" i="35"/>
  <c r="G220" i="35"/>
  <c r="D220" i="35"/>
  <c r="C220" i="35"/>
  <c r="J219" i="35"/>
  <c r="G219" i="35"/>
  <c r="C219" i="35"/>
  <c r="E221" i="35" l="1"/>
  <c r="L220" i="35"/>
  <c r="B347" i="35"/>
  <c r="A347" i="35"/>
  <c r="D218" i="35"/>
  <c r="O217" i="35"/>
  <c r="M217" i="35"/>
  <c r="K217" i="35"/>
  <c r="G217" i="35"/>
  <c r="D217" i="35"/>
  <c r="C217" i="35"/>
  <c r="J216" i="35"/>
  <c r="C216" i="35"/>
  <c r="J217" i="35" l="1"/>
  <c r="L217" i="35"/>
  <c r="E218" i="35"/>
  <c r="B354" i="35"/>
  <c r="A354" i="35"/>
  <c r="D215" i="35"/>
  <c r="O214" i="35"/>
  <c r="M214" i="35"/>
  <c r="K214" i="35"/>
  <c r="G214" i="35"/>
  <c r="D214" i="35"/>
  <c r="C214" i="35"/>
  <c r="J213" i="35"/>
  <c r="C213" i="35"/>
  <c r="L214" i="35" l="1"/>
  <c r="J214" i="35"/>
  <c r="A361" i="35"/>
  <c r="B361" i="35"/>
  <c r="E215" i="35"/>
  <c r="D212" i="35"/>
  <c r="O211" i="35"/>
  <c r="M211" i="35"/>
  <c r="K211" i="35"/>
  <c r="G211" i="35"/>
  <c r="D211" i="35"/>
  <c r="C211" i="35"/>
  <c r="J210" i="35"/>
  <c r="C210" i="35"/>
  <c r="L211" i="35" l="1"/>
  <c r="J211" i="35"/>
  <c r="E212" i="35"/>
  <c r="A365" i="35"/>
  <c r="B365" i="35"/>
  <c r="A369" i="35" s="1"/>
  <c r="D209" i="35"/>
  <c r="O208" i="35"/>
  <c r="M208" i="35"/>
  <c r="K208" i="35"/>
  <c r="G208" i="35"/>
  <c r="D208" i="35"/>
  <c r="C208" i="35"/>
  <c r="J207" i="35"/>
  <c r="C207" i="35"/>
  <c r="L208" i="35" l="1"/>
  <c r="J208" i="35"/>
  <c r="B369" i="35"/>
  <c r="A373" i="35" s="1"/>
  <c r="E209" i="35"/>
  <c r="D206" i="35"/>
  <c r="O205" i="35"/>
  <c r="M205" i="35"/>
  <c r="K205" i="35"/>
  <c r="G205" i="35"/>
  <c r="D205" i="35"/>
  <c r="C205" i="35"/>
  <c r="J204" i="35"/>
  <c r="C204" i="35"/>
  <c r="L205" i="35" l="1"/>
  <c r="J205" i="35"/>
  <c r="B373" i="35"/>
  <c r="A377" i="35" s="1"/>
  <c r="E206" i="35"/>
  <c r="D203" i="35"/>
  <c r="O202" i="35"/>
  <c r="M202" i="35"/>
  <c r="K202" i="35"/>
  <c r="G202" i="35"/>
  <c r="D202" i="35"/>
  <c r="C202" i="35"/>
  <c r="J201" i="35"/>
  <c r="C201" i="35"/>
  <c r="L202" i="35" l="1"/>
  <c r="J202" i="35"/>
  <c r="E203" i="35"/>
  <c r="B377" i="35"/>
  <c r="D200" i="35"/>
  <c r="O199" i="35"/>
  <c r="M199" i="35"/>
  <c r="K199" i="35"/>
  <c r="G199" i="35"/>
  <c r="D199" i="35"/>
  <c r="C199" i="35"/>
  <c r="J198" i="35"/>
  <c r="C198" i="35"/>
  <c r="J199" i="35" l="1"/>
  <c r="L199" i="35"/>
  <c r="E200" i="35"/>
  <c r="D197" i="35"/>
  <c r="O196" i="35"/>
  <c r="M196" i="35"/>
  <c r="K196" i="35"/>
  <c r="G196" i="35"/>
  <c r="D196" i="35"/>
  <c r="C196" i="35"/>
  <c r="J195" i="35"/>
  <c r="C195" i="35"/>
  <c r="J196" i="35" l="1"/>
  <c r="L196" i="35"/>
  <c r="E197" i="35"/>
  <c r="D194" i="35"/>
  <c r="O193" i="35"/>
  <c r="M193" i="35"/>
  <c r="K193" i="35"/>
  <c r="G193" i="35"/>
  <c r="D193" i="35"/>
  <c r="C193" i="35"/>
  <c r="J192" i="35"/>
  <c r="C192" i="35"/>
  <c r="J193" i="35" l="1"/>
  <c r="L193" i="35"/>
  <c r="E194" i="35"/>
  <c r="D191" i="35"/>
  <c r="O190" i="35"/>
  <c r="M190" i="35"/>
  <c r="K190" i="35"/>
  <c r="G190" i="35"/>
  <c r="D190" i="35"/>
  <c r="C190" i="35"/>
  <c r="J189" i="35"/>
  <c r="C189" i="35"/>
  <c r="L190" i="35" l="1"/>
  <c r="J190" i="35"/>
  <c r="E191" i="35"/>
  <c r="D188" i="35"/>
  <c r="O187" i="35"/>
  <c r="M187" i="35"/>
  <c r="K187" i="35"/>
  <c r="G187" i="35"/>
  <c r="D187" i="35"/>
  <c r="C187" i="35"/>
  <c r="J186" i="35"/>
  <c r="G186" i="35"/>
  <c r="C186" i="35"/>
  <c r="L187" i="35" l="1"/>
  <c r="J187" i="35"/>
  <c r="E188" i="35"/>
  <c r="D185" i="35"/>
  <c r="O184" i="35"/>
  <c r="M184" i="35"/>
  <c r="K184" i="35"/>
  <c r="G184" i="35"/>
  <c r="D184" i="35"/>
  <c r="C184" i="35"/>
  <c r="J183" i="35"/>
  <c r="G183" i="35"/>
  <c r="C183" i="35"/>
  <c r="L184" i="35" l="1"/>
  <c r="J184" i="35"/>
  <c r="E185" i="35"/>
  <c r="D182" i="35"/>
  <c r="O181" i="35"/>
  <c r="M181" i="35"/>
  <c r="K181" i="35"/>
  <c r="G181" i="35"/>
  <c r="D181" i="35"/>
  <c r="C181" i="35"/>
  <c r="J180" i="35"/>
  <c r="G180" i="35"/>
  <c r="C180" i="35"/>
  <c r="L181" i="35" l="1"/>
  <c r="J181" i="35"/>
  <c r="E182" i="35"/>
  <c r="D179" i="35"/>
  <c r="O178" i="35"/>
  <c r="M178" i="35"/>
  <c r="K178" i="35"/>
  <c r="G178" i="35"/>
  <c r="D178" i="35"/>
  <c r="C178" i="35"/>
  <c r="J177" i="35"/>
  <c r="G177" i="35"/>
  <c r="C177" i="35"/>
  <c r="L178" i="35" l="1"/>
  <c r="J178" i="35"/>
  <c r="E179" i="35"/>
  <c r="D176" i="35"/>
  <c r="O175" i="35"/>
  <c r="M175" i="35"/>
  <c r="K175" i="35"/>
  <c r="G175" i="35"/>
  <c r="D175" i="35"/>
  <c r="C175" i="35"/>
  <c r="J174" i="35"/>
  <c r="G174" i="35"/>
  <c r="C174" i="35"/>
  <c r="L175" i="35" l="1"/>
  <c r="J175" i="35"/>
  <c r="E176" i="35"/>
  <c r="D173" i="35"/>
  <c r="O172" i="35"/>
  <c r="M172" i="35"/>
  <c r="K172" i="35"/>
  <c r="G172" i="35"/>
  <c r="D172" i="35"/>
  <c r="C172" i="35"/>
  <c r="J171" i="35"/>
  <c r="G171" i="35"/>
  <c r="C171" i="35"/>
  <c r="L172" i="35" l="1"/>
  <c r="J172" i="35"/>
  <c r="E173" i="35"/>
  <c r="D170" i="35"/>
  <c r="O169" i="35"/>
  <c r="M169" i="35"/>
  <c r="K169" i="35"/>
  <c r="G169" i="35"/>
  <c r="D169" i="35"/>
  <c r="C169" i="35"/>
  <c r="J168" i="35"/>
  <c r="G168" i="35"/>
  <c r="C168" i="35"/>
  <c r="L169" i="35" l="1"/>
  <c r="J169" i="35"/>
  <c r="E170" i="35"/>
  <c r="D167" i="35"/>
  <c r="O166" i="35"/>
  <c r="M166" i="35"/>
  <c r="K166" i="35"/>
  <c r="G166" i="35"/>
  <c r="D166" i="35"/>
  <c r="C166" i="35"/>
  <c r="J165" i="35"/>
  <c r="G165" i="35"/>
  <c r="C165" i="35"/>
  <c r="J166" i="35" l="1"/>
  <c r="L166" i="35"/>
  <c r="E167" i="35"/>
  <c r="D164" i="35"/>
  <c r="O163" i="35"/>
  <c r="M163" i="35"/>
  <c r="K163" i="35"/>
  <c r="G163" i="35"/>
  <c r="D163" i="35"/>
  <c r="C163" i="35"/>
  <c r="J162" i="35"/>
  <c r="G162" i="35"/>
  <c r="C162" i="35"/>
  <c r="J163" i="35" l="1"/>
  <c r="L163" i="35"/>
  <c r="E164" i="35"/>
  <c r="D161" i="35"/>
  <c r="O160" i="35"/>
  <c r="M160" i="35"/>
  <c r="K160" i="35"/>
  <c r="G160" i="35"/>
  <c r="D160" i="35"/>
  <c r="C160" i="35"/>
  <c r="J159" i="35"/>
  <c r="G159" i="35"/>
  <c r="C159" i="35"/>
  <c r="J160" i="35" l="1"/>
  <c r="L160" i="35"/>
  <c r="E161" i="35"/>
  <c r="D158" i="35"/>
  <c r="O157" i="35"/>
  <c r="M157" i="35"/>
  <c r="K157" i="35"/>
  <c r="G157" i="35"/>
  <c r="D157" i="35"/>
  <c r="C157" i="35"/>
  <c r="J156" i="35"/>
  <c r="G156" i="35"/>
  <c r="C156" i="35"/>
  <c r="J157" i="35" l="1"/>
  <c r="L157" i="35"/>
  <c r="E158" i="35"/>
  <c r="D155" i="35"/>
  <c r="O154" i="35"/>
  <c r="M154" i="35"/>
  <c r="K154" i="35"/>
  <c r="G154" i="35"/>
  <c r="D154" i="35"/>
  <c r="C154" i="35"/>
  <c r="J153" i="35"/>
  <c r="G153" i="35"/>
  <c r="C153" i="35"/>
  <c r="J154" i="35" l="1"/>
  <c r="L154" i="35"/>
  <c r="E155" i="35"/>
  <c r="D152" i="35"/>
  <c r="O151" i="35"/>
  <c r="M151" i="35"/>
  <c r="K151" i="35"/>
  <c r="G151" i="35"/>
  <c r="D151" i="35"/>
  <c r="C151" i="35"/>
  <c r="J150" i="35"/>
  <c r="G150" i="35"/>
  <c r="C150" i="35"/>
  <c r="J151" i="35" l="1"/>
  <c r="L151" i="35"/>
  <c r="E152" i="35"/>
  <c r="D149" i="35"/>
  <c r="O148" i="35"/>
  <c r="M148" i="35"/>
  <c r="K148" i="35"/>
  <c r="G148" i="35"/>
  <c r="D148" i="35"/>
  <c r="C148" i="35"/>
  <c r="J147" i="35"/>
  <c r="G147" i="35"/>
  <c r="C147" i="35"/>
  <c r="J148" i="35" l="1"/>
  <c r="L148" i="35"/>
  <c r="E149" i="35"/>
  <c r="D146" i="35"/>
  <c r="O145" i="35"/>
  <c r="M145" i="35"/>
  <c r="K145" i="35"/>
  <c r="G145" i="35"/>
  <c r="D145" i="35"/>
  <c r="C145" i="35"/>
  <c r="J144" i="35"/>
  <c r="G144" i="35"/>
  <c r="C144" i="35"/>
  <c r="J145" i="35" l="1"/>
  <c r="L145" i="35"/>
  <c r="E146" i="35"/>
  <c r="D143" i="35"/>
  <c r="O142" i="35"/>
  <c r="M142" i="35"/>
  <c r="K142" i="35"/>
  <c r="G142" i="35"/>
  <c r="D142" i="35"/>
  <c r="C142" i="35"/>
  <c r="J141" i="35"/>
  <c r="G141" i="35"/>
  <c r="C141" i="35"/>
  <c r="L142" i="35" l="1"/>
  <c r="J142" i="35"/>
  <c r="E143" i="35"/>
  <c r="D140" i="35"/>
  <c r="O139" i="35"/>
  <c r="M139" i="35"/>
  <c r="K139" i="35"/>
  <c r="G139" i="35"/>
  <c r="D139" i="35"/>
  <c r="C139" i="35"/>
  <c r="J138" i="35"/>
  <c r="G138" i="35"/>
  <c r="C138" i="35"/>
  <c r="L139" i="35" l="1"/>
  <c r="J139" i="35"/>
  <c r="E140" i="35"/>
  <c r="D137" i="35"/>
  <c r="O136" i="35"/>
  <c r="M136" i="35"/>
  <c r="K136" i="35"/>
  <c r="G136" i="35"/>
  <c r="D136" i="35"/>
  <c r="C136" i="35"/>
  <c r="J135" i="35"/>
  <c r="G135" i="35"/>
  <c r="C135" i="35"/>
  <c r="L136" i="35" l="1"/>
  <c r="J136" i="35"/>
  <c r="E137" i="35"/>
  <c r="D134" i="35"/>
  <c r="O133" i="35"/>
  <c r="M133" i="35"/>
  <c r="K133" i="35"/>
  <c r="G133" i="35"/>
  <c r="D133" i="35"/>
  <c r="C133" i="35"/>
  <c r="J132" i="35"/>
  <c r="G132" i="35"/>
  <c r="C132" i="35"/>
  <c r="L133" i="35" l="1"/>
  <c r="J133" i="35"/>
  <c r="E134" i="35"/>
  <c r="D131" i="35"/>
  <c r="O130" i="35"/>
  <c r="M130" i="35"/>
  <c r="K130" i="35"/>
  <c r="G130" i="35"/>
  <c r="D130" i="35"/>
  <c r="C130" i="35"/>
  <c r="J129" i="35"/>
  <c r="G129" i="35"/>
  <c r="C129" i="35"/>
  <c r="J130" i="35" l="1"/>
  <c r="L130" i="35"/>
  <c r="E131" i="35"/>
  <c r="D128" i="35"/>
  <c r="O127" i="35"/>
  <c r="M127" i="35"/>
  <c r="K127" i="35"/>
  <c r="G127" i="35"/>
  <c r="D127" i="35"/>
  <c r="C127" i="35"/>
  <c r="J126" i="35"/>
  <c r="G126" i="35"/>
  <c r="C126" i="35"/>
  <c r="E128" i="35" l="1"/>
  <c r="L127" i="35"/>
  <c r="D125" i="35"/>
  <c r="O124" i="35"/>
  <c r="M124" i="35"/>
  <c r="K124" i="35"/>
  <c r="G124" i="35"/>
  <c r="D124" i="35"/>
  <c r="C124" i="35"/>
  <c r="J123" i="35"/>
  <c r="G123" i="35"/>
  <c r="C123" i="35"/>
  <c r="E125" i="35" l="1"/>
  <c r="L124" i="35"/>
  <c r="D122" i="35"/>
  <c r="O121" i="35"/>
  <c r="M121" i="35"/>
  <c r="K121" i="35"/>
  <c r="G121" i="35"/>
  <c r="D121" i="35"/>
  <c r="C121" i="35"/>
  <c r="J120" i="35"/>
  <c r="G120" i="35"/>
  <c r="C120" i="35"/>
  <c r="E122" i="35" l="1"/>
  <c r="L121" i="35"/>
  <c r="D119" i="35"/>
  <c r="O118" i="35"/>
  <c r="M118" i="35"/>
  <c r="K118" i="35"/>
  <c r="G118" i="35"/>
  <c r="D118" i="35"/>
  <c r="C118" i="35"/>
  <c r="J117" i="35"/>
  <c r="G117" i="35"/>
  <c r="C117" i="35"/>
  <c r="E119" i="35" l="1"/>
  <c r="L118" i="35"/>
  <c r="D116" i="35"/>
  <c r="O115" i="35"/>
  <c r="M115" i="35"/>
  <c r="K115" i="35"/>
  <c r="G115" i="35"/>
  <c r="D115" i="35"/>
  <c r="C115" i="35"/>
  <c r="J114" i="35"/>
  <c r="G114" i="35"/>
  <c r="C114" i="35"/>
  <c r="E116" i="35" l="1"/>
  <c r="L115" i="35"/>
  <c r="D113" i="35"/>
  <c r="O112" i="35"/>
  <c r="M112" i="35"/>
  <c r="K112" i="35"/>
  <c r="G112" i="35"/>
  <c r="D112" i="35"/>
  <c r="C112" i="35"/>
  <c r="J111" i="35"/>
  <c r="G111" i="35"/>
  <c r="C111" i="35"/>
  <c r="E113" i="35" l="1"/>
  <c r="L112" i="35"/>
  <c r="D110" i="35"/>
  <c r="O109" i="35"/>
  <c r="M109" i="35"/>
  <c r="K109" i="35"/>
  <c r="G109" i="35"/>
  <c r="D109" i="35"/>
  <c r="C109" i="35"/>
  <c r="J108" i="35"/>
  <c r="G108" i="35"/>
  <c r="C108" i="35"/>
  <c r="E110" i="35" l="1"/>
  <c r="L109" i="35"/>
  <c r="D107" i="35"/>
  <c r="O106" i="35"/>
  <c r="M106" i="35"/>
  <c r="K106" i="35"/>
  <c r="G106" i="35"/>
  <c r="D106" i="35"/>
  <c r="C106" i="35"/>
  <c r="J105" i="35"/>
  <c r="G105" i="35"/>
  <c r="C105" i="35"/>
  <c r="E107" i="35" l="1"/>
  <c r="L106" i="35"/>
  <c r="D104" i="35"/>
  <c r="O103" i="35"/>
  <c r="M103" i="35"/>
  <c r="K103" i="35"/>
  <c r="G103" i="35"/>
  <c r="D103" i="35"/>
  <c r="C103" i="35"/>
  <c r="J102" i="35"/>
  <c r="G102" i="35"/>
  <c r="C102" i="35"/>
  <c r="E104" i="35" l="1"/>
  <c r="L103" i="35"/>
  <c r="D101" i="35"/>
  <c r="O100" i="35"/>
  <c r="M100" i="35"/>
  <c r="K100" i="35"/>
  <c r="G100" i="35"/>
  <c r="D100" i="35"/>
  <c r="C100" i="35"/>
  <c r="J99" i="35"/>
  <c r="G99" i="35"/>
  <c r="C99" i="35"/>
  <c r="E101" i="35" l="1"/>
  <c r="L100" i="35"/>
  <c r="D98" i="35"/>
  <c r="O97" i="35"/>
  <c r="M97" i="35"/>
  <c r="K97" i="35"/>
  <c r="G97" i="35"/>
  <c r="D97" i="35"/>
  <c r="C97" i="35"/>
  <c r="J96" i="35"/>
  <c r="G96" i="35"/>
  <c r="C96" i="35"/>
  <c r="J97" i="35" l="1"/>
  <c r="L97" i="35"/>
  <c r="E98" i="35"/>
  <c r="D95" i="35"/>
  <c r="O94" i="35"/>
  <c r="M94" i="35"/>
  <c r="K94" i="35"/>
  <c r="G94" i="35"/>
  <c r="D94" i="35"/>
  <c r="C94" i="35"/>
  <c r="J93" i="35"/>
  <c r="G93" i="35"/>
  <c r="C93" i="35"/>
  <c r="J94" i="35" l="1"/>
  <c r="L94" i="35"/>
  <c r="E95" i="35"/>
  <c r="D92" i="35"/>
  <c r="O91" i="35"/>
  <c r="M91" i="35"/>
  <c r="K91" i="35"/>
  <c r="G91" i="35"/>
  <c r="D91" i="35"/>
  <c r="C91" i="35"/>
  <c r="J90" i="35"/>
  <c r="G90" i="35"/>
  <c r="C90" i="35"/>
  <c r="L91" i="35" l="1"/>
  <c r="J91" i="35"/>
  <c r="E92" i="35"/>
  <c r="D89" i="35"/>
  <c r="O88" i="35"/>
  <c r="M88" i="35"/>
  <c r="K88" i="35"/>
  <c r="G88" i="35"/>
  <c r="D88" i="35"/>
  <c r="C88" i="35"/>
  <c r="J87" i="35"/>
  <c r="G87" i="35"/>
  <c r="C87" i="35"/>
  <c r="J88" i="35" l="1"/>
  <c r="L88" i="35"/>
  <c r="E89" i="35"/>
  <c r="D86" i="35"/>
  <c r="O85" i="35"/>
  <c r="M85" i="35"/>
  <c r="K85" i="35"/>
  <c r="G85" i="35"/>
  <c r="D85" i="35"/>
  <c r="C85" i="35"/>
  <c r="J84" i="35"/>
  <c r="G84" i="35"/>
  <c r="C84" i="35"/>
  <c r="L85" i="35" l="1"/>
  <c r="J85" i="35"/>
  <c r="E86" i="35"/>
  <c r="D83" i="35"/>
  <c r="O82" i="35"/>
  <c r="M82" i="35"/>
  <c r="K82" i="35"/>
  <c r="G82" i="35"/>
  <c r="D82" i="35"/>
  <c r="C82" i="35"/>
  <c r="J81" i="35"/>
  <c r="G81" i="35"/>
  <c r="C81" i="35"/>
  <c r="L82" i="35" l="1"/>
  <c r="J82" i="35"/>
  <c r="E83" i="35"/>
  <c r="D80" i="35"/>
  <c r="O79" i="35"/>
  <c r="M79" i="35"/>
  <c r="K79" i="35"/>
  <c r="G79" i="35"/>
  <c r="D79" i="35"/>
  <c r="C79" i="35"/>
  <c r="J78" i="35"/>
  <c r="G78" i="35"/>
  <c r="C78" i="35"/>
  <c r="L79" i="35" l="1"/>
  <c r="J79" i="35"/>
  <c r="E80" i="35"/>
  <c r="D77" i="35"/>
  <c r="O76" i="35"/>
  <c r="M76" i="35"/>
  <c r="K76" i="35"/>
  <c r="G76" i="35"/>
  <c r="D76" i="35"/>
  <c r="C76" i="35"/>
  <c r="J75" i="35"/>
  <c r="G75" i="35"/>
  <c r="C75" i="35"/>
  <c r="L76" i="35" l="1"/>
  <c r="J76" i="35"/>
  <c r="E77" i="35"/>
  <c r="D74" i="35"/>
  <c r="O73" i="35"/>
  <c r="M73" i="35"/>
  <c r="K73" i="35"/>
  <c r="G73" i="35"/>
  <c r="D73" i="35"/>
  <c r="C73" i="35"/>
  <c r="J72" i="35"/>
  <c r="G72" i="35"/>
  <c r="C72" i="35"/>
  <c r="L73" i="35" l="1"/>
  <c r="J73" i="35"/>
  <c r="E74" i="35"/>
  <c r="D71" i="35"/>
  <c r="O70" i="35"/>
  <c r="M70" i="35"/>
  <c r="K70" i="35"/>
  <c r="G70" i="35"/>
  <c r="D70" i="35"/>
  <c r="C70" i="35"/>
  <c r="J69" i="35"/>
  <c r="G69" i="35"/>
  <c r="C69" i="35"/>
  <c r="L70" i="35" l="1"/>
  <c r="J70" i="35"/>
  <c r="E71" i="35"/>
  <c r="D68" i="35"/>
  <c r="O67" i="35"/>
  <c r="M67" i="35"/>
  <c r="K67" i="35"/>
  <c r="G67" i="35"/>
  <c r="D67" i="35"/>
  <c r="C67" i="35"/>
  <c r="J66" i="35"/>
  <c r="G66" i="35"/>
  <c r="C66" i="35"/>
  <c r="E68" i="35" l="1"/>
  <c r="L67" i="35"/>
  <c r="D65" i="35"/>
  <c r="O64" i="35"/>
  <c r="M64" i="35"/>
  <c r="K64" i="35"/>
  <c r="G64" i="35"/>
  <c r="D64" i="35"/>
  <c r="C64" i="35"/>
  <c r="J63" i="35"/>
  <c r="G63" i="35"/>
  <c r="C63" i="35"/>
  <c r="E65" i="35" l="1"/>
  <c r="L64" i="35"/>
  <c r="D62" i="35"/>
  <c r="O61" i="35"/>
  <c r="M61" i="35"/>
  <c r="K61" i="35"/>
  <c r="G61" i="35"/>
  <c r="D61" i="35"/>
  <c r="C61" i="35"/>
  <c r="J60" i="35"/>
  <c r="G60" i="35"/>
  <c r="C60" i="35"/>
  <c r="E62" i="35" l="1"/>
  <c r="L61" i="35"/>
  <c r="D59" i="35"/>
  <c r="O58" i="35"/>
  <c r="M58" i="35"/>
  <c r="K58" i="35"/>
  <c r="G58" i="35"/>
  <c r="D58" i="35"/>
  <c r="C58" i="35"/>
  <c r="J57" i="35"/>
  <c r="G57" i="35"/>
  <c r="C57" i="35"/>
  <c r="E59" i="35" l="1"/>
  <c r="L58" i="35"/>
  <c r="D56" i="35"/>
  <c r="O55" i="35"/>
  <c r="M55" i="35"/>
  <c r="K55" i="35"/>
  <c r="G55" i="35"/>
  <c r="D55" i="35"/>
  <c r="C55" i="35"/>
  <c r="J54" i="35"/>
  <c r="G54" i="35"/>
  <c r="C54" i="35"/>
  <c r="E56" i="35" l="1"/>
  <c r="L55" i="35"/>
  <c r="D53" i="35"/>
  <c r="O52" i="35"/>
  <c r="M52" i="35"/>
  <c r="K52" i="35"/>
  <c r="G52" i="35"/>
  <c r="D52" i="35"/>
  <c r="C52" i="35"/>
  <c r="J51" i="35"/>
  <c r="G51" i="35"/>
  <c r="C51" i="35"/>
  <c r="E53" i="35" l="1"/>
  <c r="L52" i="35"/>
  <c r="D50" i="35"/>
  <c r="O49" i="35"/>
  <c r="M49" i="35"/>
  <c r="K49" i="35"/>
  <c r="G49" i="35"/>
  <c r="D49" i="35"/>
  <c r="C49" i="35"/>
  <c r="J48" i="35"/>
  <c r="G48" i="35"/>
  <c r="C48" i="35"/>
  <c r="E50" i="35" l="1"/>
  <c r="L49" i="35"/>
  <c r="D47" i="35"/>
  <c r="O46" i="35"/>
  <c r="M46" i="35"/>
  <c r="K46" i="35"/>
  <c r="G46" i="35"/>
  <c r="D46" i="35"/>
  <c r="C46" i="35"/>
  <c r="J45" i="35"/>
  <c r="G45" i="35"/>
  <c r="C45" i="35"/>
  <c r="E47" i="35" l="1"/>
  <c r="L46" i="35"/>
  <c r="D44" i="35"/>
  <c r="O43" i="35"/>
  <c r="M43" i="35"/>
  <c r="K43" i="35"/>
  <c r="G43" i="35"/>
  <c r="D43" i="35"/>
  <c r="C43" i="35"/>
  <c r="J42" i="35"/>
  <c r="G42" i="35"/>
  <c r="C42" i="35"/>
  <c r="E44" i="35" l="1"/>
  <c r="L43" i="35"/>
  <c r="D41" i="35"/>
  <c r="O40" i="35"/>
  <c r="M40" i="35"/>
  <c r="K40" i="35"/>
  <c r="G40" i="35"/>
  <c r="D40" i="35"/>
  <c r="C40" i="35"/>
  <c r="J39" i="35"/>
  <c r="G39" i="35"/>
  <c r="C39" i="35"/>
  <c r="E41" i="35" l="1"/>
  <c r="L40" i="35"/>
  <c r="D38" i="35"/>
  <c r="O37" i="35"/>
  <c r="M37" i="35"/>
  <c r="K37" i="35"/>
  <c r="G37" i="35"/>
  <c r="D37" i="35"/>
  <c r="C37" i="35"/>
  <c r="J36" i="35"/>
  <c r="G36" i="35"/>
  <c r="C36" i="35"/>
  <c r="L37" i="35" l="1"/>
  <c r="J37" i="35"/>
  <c r="E38" i="35"/>
  <c r="D35" i="35"/>
  <c r="O34" i="35"/>
  <c r="M34" i="35"/>
  <c r="K34" i="35"/>
  <c r="G34" i="35"/>
  <c r="D34" i="35"/>
  <c r="C34" i="35"/>
  <c r="J33" i="35"/>
  <c r="G33" i="35"/>
  <c r="C33" i="35"/>
  <c r="J34" i="35" l="1"/>
  <c r="L34" i="35"/>
  <c r="E35" i="35"/>
  <c r="D32" i="35"/>
  <c r="O31" i="35"/>
  <c r="M31" i="35"/>
  <c r="K31" i="35"/>
  <c r="G31" i="35"/>
  <c r="D31" i="35"/>
  <c r="C31" i="35"/>
  <c r="J30" i="35"/>
  <c r="G30" i="35"/>
  <c r="C30" i="35"/>
  <c r="L31" i="35" l="1"/>
  <c r="J31" i="35"/>
  <c r="E32" i="35"/>
  <c r="D29" i="35"/>
  <c r="O28" i="35"/>
  <c r="M28" i="35"/>
  <c r="K28" i="35"/>
  <c r="G28" i="35"/>
  <c r="D28" i="35"/>
  <c r="C28" i="35"/>
  <c r="J27" i="35"/>
  <c r="G27" i="35"/>
  <c r="C27" i="35"/>
  <c r="L28" i="35" l="1"/>
  <c r="J28" i="35"/>
  <c r="E29" i="35"/>
  <c r="D26" i="35"/>
  <c r="O25" i="35"/>
  <c r="M25" i="35"/>
  <c r="K25" i="35"/>
  <c r="G25" i="35"/>
  <c r="D25" i="35"/>
  <c r="C25" i="35"/>
  <c r="J24" i="35"/>
  <c r="G24" i="35"/>
  <c r="C24" i="35"/>
  <c r="L25" i="35" l="1"/>
  <c r="J25" i="35"/>
  <c r="E26" i="35"/>
  <c r="D23" i="35"/>
  <c r="O22" i="35"/>
  <c r="M22" i="35"/>
  <c r="K22" i="35"/>
  <c r="G22" i="35"/>
  <c r="D22" i="35"/>
  <c r="C22" i="35"/>
  <c r="J21" i="35"/>
  <c r="G21" i="35"/>
  <c r="C21" i="35"/>
  <c r="J22" i="35" l="1"/>
  <c r="L22" i="35"/>
  <c r="E23" i="35"/>
  <c r="D20" i="35"/>
  <c r="O19" i="35"/>
  <c r="M19" i="35"/>
  <c r="K19" i="35"/>
  <c r="G19" i="35"/>
  <c r="D19" i="35"/>
  <c r="C19" i="35"/>
  <c r="J18" i="35"/>
  <c r="G18" i="35"/>
  <c r="C18" i="35"/>
  <c r="J19" i="35" l="1"/>
  <c r="L19" i="35"/>
  <c r="E20" i="35"/>
  <c r="D17" i="35"/>
  <c r="O16" i="35"/>
  <c r="M16" i="35"/>
  <c r="K16" i="35"/>
  <c r="G16" i="35"/>
  <c r="D16" i="35"/>
  <c r="C16" i="35"/>
  <c r="J15" i="35"/>
  <c r="G15" i="35"/>
  <c r="C15" i="35"/>
  <c r="J16" i="35" l="1"/>
  <c r="L16" i="35"/>
  <c r="E17" i="35"/>
  <c r="D14" i="35"/>
  <c r="O13" i="35"/>
  <c r="M13" i="35"/>
  <c r="K13" i="35"/>
  <c r="G13" i="35"/>
  <c r="D13" i="35"/>
  <c r="C13" i="35"/>
  <c r="J12" i="35"/>
  <c r="G12" i="35"/>
  <c r="C12" i="35"/>
  <c r="L13" i="35" l="1"/>
  <c r="J13" i="35"/>
  <c r="E14" i="35"/>
  <c r="D11" i="35"/>
  <c r="O10" i="35"/>
  <c r="M10" i="35"/>
  <c r="K10" i="35"/>
  <c r="G10" i="35"/>
  <c r="D10" i="35"/>
  <c r="C10" i="35"/>
  <c r="J9" i="35"/>
  <c r="G9" i="35"/>
  <c r="C9" i="35"/>
  <c r="J7" i="35"/>
  <c r="H4" i="35"/>
  <c r="M3" i="35"/>
  <c r="J3" i="35"/>
  <c r="G3" i="35"/>
  <c r="D3" i="35"/>
  <c r="M30" i="36"/>
  <c r="E30" i="36"/>
  <c r="M14" i="36"/>
  <c r="E14" i="36"/>
  <c r="A57" i="34"/>
  <c r="X23" i="34"/>
  <c r="E23" i="34"/>
  <c r="AH22" i="34"/>
  <c r="W22" i="34"/>
  <c r="V22" i="34"/>
  <c r="O22" i="34"/>
  <c r="D22" i="34"/>
  <c r="C22" i="34"/>
  <c r="AG19" i="34"/>
  <c r="Q19" i="34"/>
  <c r="R19" i="34" s="1"/>
  <c r="AJ19" i="34" s="1"/>
  <c r="AK19" i="34" s="1"/>
  <c r="N19" i="34"/>
  <c r="AJ18" i="34"/>
  <c r="AK18" i="34" s="1"/>
  <c r="AB18" i="34"/>
  <c r="U18" i="34"/>
  <c r="Q18" i="34"/>
  <c r="R18" i="34" s="1"/>
  <c r="N18" i="34"/>
  <c r="AG18" i="34" s="1"/>
  <c r="I18" i="34"/>
  <c r="B18" i="34"/>
  <c r="AJ17" i="34"/>
  <c r="AK17" i="34" s="1"/>
  <c r="Q17" i="34"/>
  <c r="R17" i="34" s="1"/>
  <c r="N17" i="34"/>
  <c r="AG17" i="34" s="1"/>
  <c r="N15" i="34"/>
  <c r="AG15" i="34" s="1"/>
  <c r="N14" i="34"/>
  <c r="AG14" i="34" s="1"/>
  <c r="AJ13" i="34"/>
  <c r="AG13" i="34"/>
  <c r="AJ12" i="34"/>
  <c r="N12" i="34"/>
  <c r="AG12" i="34" s="1"/>
  <c r="N9" i="34"/>
  <c r="AG9" i="34" s="1"/>
  <c r="I9" i="34"/>
  <c r="AB9" i="34" s="1"/>
  <c r="B9" i="34"/>
  <c r="U9" i="34" s="1"/>
  <c r="AF7" i="34"/>
  <c r="P7" i="34"/>
  <c r="AI7" i="34" s="1"/>
  <c r="M7" i="34"/>
  <c r="AF6" i="34"/>
  <c r="Q6" i="34"/>
  <c r="AJ6" i="34" s="1"/>
  <c r="M6" i="34"/>
  <c r="M5" i="34"/>
  <c r="AF5" i="34" s="1"/>
  <c r="M4" i="34"/>
  <c r="AF4" i="34" s="1"/>
  <c r="AI3" i="34"/>
  <c r="M3" i="34"/>
  <c r="AF3" i="34" s="1"/>
  <c r="AF2" i="34"/>
  <c r="AJ1" i="34"/>
  <c r="Q1" i="34"/>
  <c r="P1" i="34"/>
  <c r="AI1" i="34" s="1"/>
  <c r="AK65" i="41"/>
  <c r="AC65" i="41"/>
  <c r="R65" i="41"/>
  <c r="F55" i="41" s="1"/>
  <c r="K65" i="41"/>
  <c r="J65" i="41"/>
  <c r="N63" i="41"/>
  <c r="AG63" i="41" s="1"/>
  <c r="U61" i="41"/>
  <c r="B61" i="41"/>
  <c r="AI58" i="41"/>
  <c r="P58" i="41"/>
  <c r="AK57" i="41"/>
  <c r="AI57" i="41"/>
  <c r="P57" i="41"/>
  <c r="Q55" i="41"/>
  <c r="B54" i="41"/>
  <c r="B53" i="41"/>
  <c r="B52" i="41"/>
  <c r="B51" i="41"/>
  <c r="B50" i="41"/>
  <c r="B49" i="41"/>
  <c r="B48" i="41"/>
  <c r="B47" i="41"/>
  <c r="B46" i="41"/>
  <c r="B45" i="41"/>
  <c r="B44" i="41"/>
  <c r="B43" i="41"/>
  <c r="B42" i="41"/>
  <c r="B41" i="41"/>
  <c r="B40" i="41"/>
  <c r="B39" i="41"/>
  <c r="B38" i="41"/>
  <c r="B37" i="41"/>
  <c r="B36" i="41"/>
  <c r="B35" i="41"/>
  <c r="B34" i="41"/>
  <c r="B33" i="41"/>
  <c r="O32" i="41"/>
  <c r="E32" i="41"/>
  <c r="B32" i="41" s="1"/>
  <c r="C32" i="41"/>
  <c r="D32" i="41" s="1"/>
  <c r="O31" i="41"/>
  <c r="E31" i="41"/>
  <c r="C31" i="41"/>
  <c r="D31" i="41" s="1"/>
  <c r="O30" i="41"/>
  <c r="E30" i="41"/>
  <c r="D30" i="41"/>
  <c r="R30" i="41" s="1"/>
  <c r="C30" i="41"/>
  <c r="B30" i="41" s="1"/>
  <c r="O29" i="41"/>
  <c r="E29" i="41"/>
  <c r="B29" i="41" s="1"/>
  <c r="C29" i="41"/>
  <c r="D29" i="41" s="1"/>
  <c r="R29" i="41" s="1"/>
  <c r="O28" i="41"/>
  <c r="E28" i="41"/>
  <c r="C28" i="41"/>
  <c r="B28" i="41" s="1"/>
  <c r="O27" i="41"/>
  <c r="E27" i="41"/>
  <c r="C27" i="41"/>
  <c r="B27" i="41" s="1"/>
  <c r="O26" i="41"/>
  <c r="E26" i="41"/>
  <c r="C26" i="41"/>
  <c r="D26" i="41" s="1"/>
  <c r="O25" i="41"/>
  <c r="E25" i="41"/>
  <c r="C25" i="41"/>
  <c r="D25" i="41" s="1"/>
  <c r="E23" i="41"/>
  <c r="AK22" i="41"/>
  <c r="AJ22" i="41"/>
  <c r="AH22" i="41"/>
  <c r="W22" i="41"/>
  <c r="V22" i="41"/>
  <c r="R22" i="41"/>
  <c r="Q22" i="41"/>
  <c r="O22" i="41"/>
  <c r="D22" i="41"/>
  <c r="C22" i="41"/>
  <c r="Q19" i="41"/>
  <c r="R19" i="41" s="1"/>
  <c r="AJ19" i="41" s="1"/>
  <c r="AK19" i="41" s="1"/>
  <c r="N19" i="41"/>
  <c r="AG19" i="41" s="1"/>
  <c r="AJ18" i="41"/>
  <c r="AK18" i="41" s="1"/>
  <c r="AB18" i="41"/>
  <c r="U18" i="41"/>
  <c r="Q18" i="41"/>
  <c r="R18" i="41" s="1"/>
  <c r="N18" i="41"/>
  <c r="AG18" i="41" s="1"/>
  <c r="I18" i="41"/>
  <c r="B18" i="41"/>
  <c r="AK17" i="41"/>
  <c r="AJ17" i="41"/>
  <c r="Q17" i="41"/>
  <c r="R17" i="41" s="1"/>
  <c r="N17" i="41"/>
  <c r="AG17" i="41" s="1"/>
  <c r="N15" i="41"/>
  <c r="AG15" i="41" s="1"/>
  <c r="N14" i="41"/>
  <c r="AG14" i="41" s="1"/>
  <c r="AJ13" i="41"/>
  <c r="AG13" i="41"/>
  <c r="AJ12" i="41"/>
  <c r="N12" i="41"/>
  <c r="AG12" i="41" s="1"/>
  <c r="N9" i="41"/>
  <c r="AG9" i="41" s="1"/>
  <c r="I9" i="41"/>
  <c r="AB9" i="41" s="1"/>
  <c r="B9" i="41"/>
  <c r="U9" i="41" s="1"/>
  <c r="AF7" i="41"/>
  <c r="P7" i="41"/>
  <c r="AI7" i="41" s="1"/>
  <c r="M7" i="41"/>
  <c r="AF6" i="41"/>
  <c r="Q6" i="41"/>
  <c r="AJ6" i="41" s="1"/>
  <c r="M6" i="41"/>
  <c r="M5" i="41"/>
  <c r="AF5" i="41" s="1"/>
  <c r="AC4" i="41"/>
  <c r="M4" i="41"/>
  <c r="AF4" i="41" s="1"/>
  <c r="J4" i="41"/>
  <c r="AJ3" i="41"/>
  <c r="AC3" i="41"/>
  <c r="M3" i="41"/>
  <c r="AF3" i="41" s="1"/>
  <c r="J3" i="41"/>
  <c r="AF2" i="41"/>
  <c r="AJ1" i="41"/>
  <c r="Q1" i="41"/>
  <c r="P1" i="41"/>
  <c r="AI1" i="41" s="1"/>
  <c r="D95" i="33"/>
  <c r="D90" i="33"/>
  <c r="D89" i="33"/>
  <c r="D86" i="33"/>
  <c r="D84" i="33"/>
  <c r="D82" i="33"/>
  <c r="C81" i="33"/>
  <c r="I75" i="33"/>
  <c r="Q67" i="33"/>
  <c r="AK65" i="33"/>
  <c r="AC65" i="33"/>
  <c r="K65" i="33"/>
  <c r="AD65" i="33" s="1"/>
  <c r="J65" i="33"/>
  <c r="N63" i="33"/>
  <c r="AG63" i="33" s="1"/>
  <c r="U61" i="33"/>
  <c r="B61" i="33"/>
  <c r="AI58" i="33"/>
  <c r="P58" i="33"/>
  <c r="AI57" i="33"/>
  <c r="P57" i="33"/>
  <c r="Q55" i="33"/>
  <c r="X23" i="33"/>
  <c r="E23" i="33"/>
  <c r="AK22" i="33"/>
  <c r="AJ22" i="33"/>
  <c r="AH22" i="33"/>
  <c r="W22" i="33"/>
  <c r="V22" i="33"/>
  <c r="R22" i="33"/>
  <c r="Q22" i="33"/>
  <c r="O22" i="33"/>
  <c r="D22" i="33"/>
  <c r="C22" i="33"/>
  <c r="Q19" i="33"/>
  <c r="R19" i="33" s="1"/>
  <c r="N19" i="33"/>
  <c r="AG19" i="33" s="1"/>
  <c r="AJ18" i="33"/>
  <c r="AK18" i="33" s="1"/>
  <c r="AB18" i="33"/>
  <c r="U18" i="33"/>
  <c r="R18" i="33"/>
  <c r="N18" i="33"/>
  <c r="AG18" i="33" s="1"/>
  <c r="J18" i="33"/>
  <c r="J18" i="41" s="1"/>
  <c r="AC18" i="41" s="1"/>
  <c r="I18" i="33"/>
  <c r="C18" i="33"/>
  <c r="B18" i="33"/>
  <c r="AK17" i="33"/>
  <c r="AJ17" i="33"/>
  <c r="R17" i="33"/>
  <c r="N17" i="33"/>
  <c r="AG17" i="33" s="1"/>
  <c r="I17" i="33"/>
  <c r="I17" i="41" s="1"/>
  <c r="AB17" i="41" s="1"/>
  <c r="B17" i="33"/>
  <c r="B17" i="41" s="1"/>
  <c r="U17" i="41" s="1"/>
  <c r="I16" i="33"/>
  <c r="I16" i="34" s="1"/>
  <c r="AB16" i="34" s="1"/>
  <c r="B16" i="33"/>
  <c r="B16" i="34" s="1"/>
  <c r="U16" i="34" s="1"/>
  <c r="N15" i="33"/>
  <c r="AG15" i="33" s="1"/>
  <c r="I15" i="33"/>
  <c r="I15" i="41" s="1"/>
  <c r="AB15" i="41" s="1"/>
  <c r="B15" i="33"/>
  <c r="J26" i="36" s="1"/>
  <c r="N14" i="33"/>
  <c r="AG14" i="33" s="1"/>
  <c r="I14" i="33"/>
  <c r="B14" i="33"/>
  <c r="B14" i="34" s="1"/>
  <c r="U14" i="34" s="1"/>
  <c r="AG13" i="33"/>
  <c r="I13" i="33"/>
  <c r="B13" i="33"/>
  <c r="N12" i="33"/>
  <c r="AG12" i="33" s="1"/>
  <c r="I12" i="33"/>
  <c r="B39" i="36" s="1"/>
  <c r="B12" i="33"/>
  <c r="B12" i="41" s="1"/>
  <c r="U12" i="41" s="1"/>
  <c r="N9" i="33"/>
  <c r="AG9" i="33" s="1"/>
  <c r="I9" i="33"/>
  <c r="AB9" i="33" s="1"/>
  <c r="B9" i="33"/>
  <c r="U9" i="33" s="1"/>
  <c r="AF7" i="33"/>
  <c r="P7" i="33"/>
  <c r="AI7" i="33" s="1"/>
  <c r="M7" i="33"/>
  <c r="I7" i="33"/>
  <c r="AJ6" i="33"/>
  <c r="AF6" i="33"/>
  <c r="M6" i="33"/>
  <c r="M5" i="33"/>
  <c r="AF5" i="33" s="1"/>
  <c r="AC4" i="33"/>
  <c r="M4" i="33"/>
  <c r="AF4" i="33" s="1"/>
  <c r="J4" i="33"/>
  <c r="AJ3" i="33"/>
  <c r="AC3" i="33"/>
  <c r="J3" i="33"/>
  <c r="AF2" i="33"/>
  <c r="Q2" i="34"/>
  <c r="AJ2" i="34" s="1"/>
  <c r="P1" i="33"/>
  <c r="AI1" i="33" s="1"/>
  <c r="D103" i="26"/>
  <c r="C103" i="26"/>
  <c r="D101" i="26"/>
  <c r="D99" i="26"/>
  <c r="D95" i="26"/>
  <c r="D90" i="26"/>
  <c r="D89" i="26"/>
  <c r="D86" i="26"/>
  <c r="D84" i="26"/>
  <c r="D82" i="26"/>
  <c r="C81" i="26"/>
  <c r="H75" i="26"/>
  <c r="P67" i="26"/>
  <c r="AI65" i="26"/>
  <c r="AA65" i="26"/>
  <c r="I65" i="26"/>
  <c r="M63" i="26"/>
  <c r="AE63" i="26" s="1"/>
  <c r="T61" i="26"/>
  <c r="B61" i="26"/>
  <c r="AG58" i="26"/>
  <c r="O58" i="26"/>
  <c r="AG57" i="26"/>
  <c r="O57" i="26"/>
  <c r="P55" i="26"/>
  <c r="AI22" i="26"/>
  <c r="AH22" i="26"/>
  <c r="AF22" i="26"/>
  <c r="U22" i="26"/>
  <c r="Q22" i="26"/>
  <c r="P22" i="26"/>
  <c r="N22" i="26"/>
  <c r="C22" i="26"/>
  <c r="P19" i="26"/>
  <c r="AH19" i="26" s="1"/>
  <c r="AI19" i="26" s="1"/>
  <c r="M19" i="26"/>
  <c r="AE19" i="26" s="1"/>
  <c r="AI18" i="26"/>
  <c r="AH18" i="26"/>
  <c r="Z18" i="26"/>
  <c r="T18" i="26"/>
  <c r="P18" i="26"/>
  <c r="Q18" i="26" s="1"/>
  <c r="M18" i="26"/>
  <c r="AE18" i="26" s="1"/>
  <c r="I18" i="26"/>
  <c r="AA18" i="26" s="1"/>
  <c r="H18" i="26"/>
  <c r="C18" i="26"/>
  <c r="U18" i="26" s="1"/>
  <c r="B18" i="26"/>
  <c r="AH17" i="26"/>
  <c r="AI17" i="26" s="1"/>
  <c r="P17" i="26"/>
  <c r="Q17" i="26" s="1"/>
  <c r="M17" i="26"/>
  <c r="AE17" i="26" s="1"/>
  <c r="H17" i="26"/>
  <c r="Z17" i="26" s="1"/>
  <c r="B17" i="26"/>
  <c r="T17" i="26" s="1"/>
  <c r="H16" i="26"/>
  <c r="Z16" i="26" s="1"/>
  <c r="B16" i="26"/>
  <c r="T16" i="26" s="1"/>
  <c r="P15" i="26"/>
  <c r="Q15" i="33" s="1"/>
  <c r="AJ15" i="33" s="1"/>
  <c r="M15" i="26"/>
  <c r="AE15" i="26" s="1"/>
  <c r="H15" i="26"/>
  <c r="Z15" i="26" s="1"/>
  <c r="B15" i="26"/>
  <c r="T15" i="26" s="1"/>
  <c r="P14" i="26"/>
  <c r="Q14" i="33" s="1"/>
  <c r="AJ14" i="33" s="1"/>
  <c r="M14" i="26"/>
  <c r="AE14" i="26" s="1"/>
  <c r="H14" i="26"/>
  <c r="Z14" i="26" s="1"/>
  <c r="B14" i="26"/>
  <c r="T14" i="26" s="1"/>
  <c r="AE13" i="26"/>
  <c r="Q58" i="26"/>
  <c r="H13" i="26"/>
  <c r="Z13" i="26" s="1"/>
  <c r="B13" i="26"/>
  <c r="T13" i="26" s="1"/>
  <c r="P12" i="26"/>
  <c r="M12" i="26"/>
  <c r="AE12" i="26" s="1"/>
  <c r="H12" i="26"/>
  <c r="Z12" i="26" s="1"/>
  <c r="B12" i="26"/>
  <c r="T12" i="26" s="1"/>
  <c r="M9" i="26"/>
  <c r="AE9" i="26" s="1"/>
  <c r="H9" i="26"/>
  <c r="Z9" i="26" s="1"/>
  <c r="B9" i="26"/>
  <c r="T9" i="26" s="1"/>
  <c r="AD7" i="26"/>
  <c r="O7" i="26"/>
  <c r="AG7" i="26" s="1"/>
  <c r="L7" i="26"/>
  <c r="H7" i="26"/>
  <c r="AH6" i="26"/>
  <c r="AD6" i="26"/>
  <c r="L6" i="26"/>
  <c r="AD5" i="26"/>
  <c r="P5" i="26"/>
  <c r="L5" i="26"/>
  <c r="AD4" i="26"/>
  <c r="AA4" i="26"/>
  <c r="P4" i="26"/>
  <c r="L4" i="26"/>
  <c r="I4" i="26"/>
  <c r="AD3" i="26"/>
  <c r="AA3" i="26"/>
  <c r="AH3" i="26"/>
  <c r="L3" i="26"/>
  <c r="I3" i="26"/>
  <c r="AH2" i="26"/>
  <c r="M1" i="26"/>
  <c r="AE1" i="26" s="1"/>
  <c r="G28" i="28"/>
  <c r="A28" i="28"/>
  <c r="G27" i="28"/>
  <c r="A27" i="28"/>
  <c r="G26" i="28"/>
  <c r="A26" i="28"/>
  <c r="A25" i="28"/>
  <c r="A24" i="28"/>
  <c r="A23" i="28"/>
  <c r="G22" i="28"/>
  <c r="A22" i="28"/>
  <c r="B20" i="28"/>
  <c r="A20" i="28"/>
  <c r="A18" i="28"/>
  <c r="A17" i="28"/>
  <c r="G16" i="28"/>
  <c r="Q16" i="28" s="1"/>
  <c r="A16" i="28"/>
  <c r="B15" i="36" s="1"/>
  <c r="K15" i="28"/>
  <c r="G15" i="28"/>
  <c r="Q15" i="28" s="1"/>
  <c r="A15" i="28"/>
  <c r="G14" i="28"/>
  <c r="Q14" i="28" s="1"/>
  <c r="A14" i="28"/>
  <c r="K14" i="28" s="1"/>
  <c r="A13" i="28"/>
  <c r="K13" i="28" s="1"/>
  <c r="A12" i="28"/>
  <c r="K12" i="28" s="1"/>
  <c r="A11" i="28"/>
  <c r="K11" i="28" s="1"/>
  <c r="A10" i="28"/>
  <c r="K10" i="28" s="1"/>
  <c r="G9" i="28"/>
  <c r="Q9" i="28" s="1"/>
  <c r="C9" i="28"/>
  <c r="M9" i="28" s="1"/>
  <c r="A9" i="28"/>
  <c r="K9" i="28" s="1"/>
  <c r="L8" i="28"/>
  <c r="B8" i="28"/>
  <c r="A7" i="28"/>
  <c r="F6" i="28"/>
  <c r="A6" i="28"/>
  <c r="D111" i="26"/>
  <c r="C111" i="26"/>
  <c r="L107" i="26"/>
  <c r="D107" i="26"/>
  <c r="D111" i="33"/>
  <c r="C111" i="33"/>
  <c r="L107" i="33"/>
  <c r="D107" i="33"/>
  <c r="D103" i="33"/>
  <c r="C103" i="33"/>
  <c r="D101" i="33"/>
  <c r="D99" i="33"/>
  <c r="Q67" i="41"/>
  <c r="AK65" i="34"/>
  <c r="AC65" i="34"/>
  <c r="K65" i="34"/>
  <c r="J65" i="34"/>
  <c r="T57" i="34"/>
  <c r="M46" i="36"/>
  <c r="E46" i="36"/>
  <c r="I434" i="35"/>
  <c r="D434" i="35"/>
  <c r="H433" i="35"/>
  <c r="M430" i="35"/>
  <c r="M429" i="35"/>
  <c r="M428" i="35"/>
  <c r="M427" i="35"/>
  <c r="E41" i="5"/>
  <c r="G40" i="5"/>
  <c r="H39" i="5"/>
  <c r="E39" i="5"/>
  <c r="E15" i="19"/>
  <c r="G14" i="19"/>
  <c r="H13" i="19"/>
  <c r="E41" i="21"/>
  <c r="G40" i="21"/>
  <c r="H39" i="21"/>
  <c r="E39" i="21"/>
  <c r="E32" i="20"/>
  <c r="E32" i="22"/>
  <c r="E33" i="1"/>
  <c r="G32" i="1"/>
  <c r="H31" i="1"/>
  <c r="E15" i="18"/>
  <c r="G14" i="18"/>
  <c r="H13" i="18"/>
  <c r="E29" i="23"/>
  <c r="D214" i="14"/>
  <c r="C214" i="14"/>
  <c r="C215" i="14" s="1"/>
  <c r="D213" i="14"/>
  <c r="C213" i="14"/>
  <c r="C207" i="14"/>
  <c r="A3" i="28" s="1"/>
  <c r="K206" i="14"/>
  <c r="C206" i="14"/>
  <c r="K197" i="14"/>
  <c r="J423" i="14" a="1"/>
  <c r="J423" i="14" s="1"/>
  <c r="I423" i="14" s="1"/>
  <c r="I202" i="27"/>
  <c r="I130" i="27" s="1"/>
  <c r="F202" i="27"/>
  <c r="E202" i="27" s="1"/>
  <c r="I201" i="27"/>
  <c r="F201" i="27"/>
  <c r="G201" i="27" s="1"/>
  <c r="M27" i="27" s="1"/>
  <c r="AJ35" i="43"/>
  <c r="AG35" i="43"/>
  <c r="AE35" i="43"/>
  <c r="B26" i="41" l="1"/>
  <c r="D27" i="41"/>
  <c r="Q32" i="41"/>
  <c r="R32" i="41"/>
  <c r="D28" i="41"/>
  <c r="Q30" i="41"/>
  <c r="Q29" i="41"/>
  <c r="L10" i="35"/>
  <c r="J10" i="35"/>
  <c r="E11" i="35"/>
  <c r="AC18" i="33"/>
  <c r="C45" i="36"/>
  <c r="K45" i="36"/>
  <c r="I16" i="41"/>
  <c r="AB16" i="41" s="1"/>
  <c r="AB12" i="33"/>
  <c r="L44" i="36"/>
  <c r="J27" i="36"/>
  <c r="M178" i="27"/>
  <c r="L178" i="27" s="1"/>
  <c r="M173" i="27"/>
  <c r="L173" i="27" s="1"/>
  <c r="M177" i="27"/>
  <c r="L177" i="27" s="1"/>
  <c r="AB17" i="33"/>
  <c r="J39" i="36"/>
  <c r="AB15" i="33"/>
  <c r="D44" i="36"/>
  <c r="AB16" i="33"/>
  <c r="U16" i="33"/>
  <c r="U14" i="33"/>
  <c r="B14" i="41"/>
  <c r="U14" i="41" s="1"/>
  <c r="U17" i="33"/>
  <c r="U12" i="33"/>
  <c r="U15" i="33"/>
  <c r="M174" i="27"/>
  <c r="K174" i="27" s="1"/>
  <c r="AJ19" i="33"/>
  <c r="AK19" i="33" s="1"/>
  <c r="AH15" i="26"/>
  <c r="Q19" i="26"/>
  <c r="AH14" i="26"/>
  <c r="L27" i="27"/>
  <c r="G202" i="27"/>
  <c r="M143" i="27" s="1"/>
  <c r="L143" i="27" s="1"/>
  <c r="R58" i="41"/>
  <c r="R58" i="33"/>
  <c r="AK58" i="41"/>
  <c r="AK60" i="41" s="1"/>
  <c r="AI60" i="41" s="1"/>
  <c r="R27" i="41"/>
  <c r="Q27" i="41"/>
  <c r="Q4" i="41"/>
  <c r="AJ4" i="41" s="1"/>
  <c r="Q4" i="34"/>
  <c r="AJ4" i="34" s="1"/>
  <c r="Q4" i="33"/>
  <c r="AJ4" i="33" s="1"/>
  <c r="R25" i="41"/>
  <c r="Q25" i="41"/>
  <c r="AH4" i="26"/>
  <c r="Q15" i="41"/>
  <c r="AJ15" i="41" s="1"/>
  <c r="Q15" i="34"/>
  <c r="AJ15" i="34" s="1"/>
  <c r="U13" i="33"/>
  <c r="B13" i="34"/>
  <c r="U13" i="34" s="1"/>
  <c r="C171" i="27"/>
  <c r="J8" i="36"/>
  <c r="B8" i="36"/>
  <c r="J24" i="36"/>
  <c r="I13" i="41"/>
  <c r="AB13" i="41" s="1"/>
  <c r="B24" i="36"/>
  <c r="J40" i="36"/>
  <c r="I13" i="34"/>
  <c r="AB13" i="34" s="1"/>
  <c r="B40" i="36"/>
  <c r="M171" i="27"/>
  <c r="M172" i="27"/>
  <c r="AB13" i="33"/>
  <c r="J31" i="36"/>
  <c r="B31" i="36"/>
  <c r="J15" i="36"/>
  <c r="D7" i="35"/>
  <c r="Q12" i="33"/>
  <c r="E3" i="35"/>
  <c r="Q5" i="41"/>
  <c r="AJ5" i="41" s="1"/>
  <c r="Q5" i="33"/>
  <c r="AJ5" i="33" s="1"/>
  <c r="Q14" i="34"/>
  <c r="AJ14" i="34" s="1"/>
  <c r="Q14" i="41"/>
  <c r="AJ14" i="41" s="1"/>
  <c r="B27" i="36"/>
  <c r="J43" i="36"/>
  <c r="B43" i="36"/>
  <c r="J11" i="36"/>
  <c r="B16" i="41"/>
  <c r="U16" i="41" s="1"/>
  <c r="B11" i="36"/>
  <c r="R26" i="41"/>
  <c r="Q26" i="41"/>
  <c r="Q5" i="34"/>
  <c r="AJ5" i="34" s="1"/>
  <c r="B47" i="36"/>
  <c r="K16" i="28"/>
  <c r="B9" i="36"/>
  <c r="I14" i="34"/>
  <c r="AB14" i="34" s="1"/>
  <c r="J25" i="36"/>
  <c r="B25" i="36"/>
  <c r="J41" i="36"/>
  <c r="AB14" i="33"/>
  <c r="B41" i="36"/>
  <c r="I14" i="41"/>
  <c r="AB14" i="41" s="1"/>
  <c r="V18" i="33"/>
  <c r="C18" i="41"/>
  <c r="V18" i="41" s="1"/>
  <c r="C18" i="34"/>
  <c r="V18" i="34" s="1"/>
  <c r="R31" i="41"/>
  <c r="Q31" i="41"/>
  <c r="J9" i="36"/>
  <c r="AI58" i="26"/>
  <c r="H7" i="35"/>
  <c r="Q13" i="33"/>
  <c r="E201" i="27"/>
  <c r="F186" i="27"/>
  <c r="G186" i="27"/>
  <c r="AH5" i="26"/>
  <c r="G192" i="27"/>
  <c r="F192" i="27"/>
  <c r="H11" i="23"/>
  <c r="D132" i="27"/>
  <c r="J47" i="36"/>
  <c r="B13" i="41"/>
  <c r="U13" i="41" s="1"/>
  <c r="AJ2" i="33"/>
  <c r="Q2" i="41"/>
  <c r="AJ2" i="41" s="1"/>
  <c r="B10" i="36"/>
  <c r="D28" i="36"/>
  <c r="B31" i="41"/>
  <c r="J10" i="36"/>
  <c r="L28" i="36"/>
  <c r="B23" i="36"/>
  <c r="C29" i="36"/>
  <c r="B15" i="34"/>
  <c r="U15" i="34" s="1"/>
  <c r="B17" i="34"/>
  <c r="U17" i="34" s="1"/>
  <c r="J23" i="36"/>
  <c r="K29" i="36"/>
  <c r="B12" i="34"/>
  <c r="U12" i="34" s="1"/>
  <c r="I15" i="34"/>
  <c r="AB15" i="34" s="1"/>
  <c r="I17" i="34"/>
  <c r="AB17" i="34" s="1"/>
  <c r="J18" i="34"/>
  <c r="AC18" i="34" s="1"/>
  <c r="D12" i="36"/>
  <c r="B42" i="36"/>
  <c r="I12" i="34"/>
  <c r="AB12" i="34" s="1"/>
  <c r="L12" i="36"/>
  <c r="J42" i="36"/>
  <c r="B7" i="36"/>
  <c r="C13" i="36"/>
  <c r="B15" i="41"/>
  <c r="U15" i="41" s="1"/>
  <c r="B25" i="41"/>
  <c r="J7" i="36"/>
  <c r="K13" i="36"/>
  <c r="B26" i="36"/>
  <c r="I12" i="41"/>
  <c r="AB12" i="41" s="1"/>
  <c r="Q28" i="41" l="1"/>
  <c r="R28" i="41"/>
  <c r="I186" i="27"/>
  <c r="I149" i="27" s="1"/>
  <c r="D149" i="27" s="1"/>
  <c r="G149" i="27" s="1"/>
  <c r="I188" i="27"/>
  <c r="I151" i="27" s="1"/>
  <c r="D151" i="27" s="1"/>
  <c r="I185" i="27"/>
  <c r="I148" i="27" s="1"/>
  <c r="D148" i="27" s="1"/>
  <c r="G148" i="27" s="1"/>
  <c r="I187" i="27"/>
  <c r="I150" i="27" s="1"/>
  <c r="D150" i="27" s="1"/>
  <c r="K173" i="27"/>
  <c r="K177" i="27"/>
  <c r="L174" i="27"/>
  <c r="K178" i="27"/>
  <c r="K132" i="27"/>
  <c r="M130" i="27" s="1"/>
  <c r="D143" i="27"/>
  <c r="D146" i="27" s="1"/>
  <c r="Q13" i="41"/>
  <c r="Q13" i="34"/>
  <c r="AK58" i="33"/>
  <c r="L172" i="27"/>
  <c r="K172" i="27"/>
  <c r="K171" i="27"/>
  <c r="L171" i="27"/>
  <c r="C176" i="27"/>
  <c r="D176" i="27" s="1"/>
  <c r="C172" i="27"/>
  <c r="D172" i="27" s="1"/>
  <c r="D171" i="27"/>
  <c r="C179" i="27"/>
  <c r="D179" i="27" s="1"/>
  <c r="C175" i="27"/>
  <c r="D175" i="27" s="1"/>
  <c r="C178" i="27"/>
  <c r="D178" i="27" s="1"/>
  <c r="C174" i="27"/>
  <c r="D174" i="27" s="1"/>
  <c r="C177" i="27"/>
  <c r="D177" i="27" s="1"/>
  <c r="C173" i="27"/>
  <c r="D173" i="27" s="1"/>
  <c r="Q12" i="34"/>
  <c r="Q12" i="41"/>
  <c r="AK59" i="41"/>
  <c r="AI59" i="41" s="1"/>
  <c r="T171" i="27" l="1" a="1"/>
  <c r="T171" i="27" s="1"/>
  <c r="O171" i="27" s="1"/>
  <c r="H149" i="27"/>
  <c r="H151" i="27"/>
  <c r="G151" i="27"/>
  <c r="D155" i="27"/>
  <c r="H148" i="27"/>
  <c r="H150" i="27"/>
  <c r="G150" i="27"/>
  <c r="T3" i="27" a="1"/>
  <c r="T3" i="27" s="1"/>
  <c r="AK61" i="41"/>
  <c r="H143" i="27"/>
  <c r="G143" i="27"/>
  <c r="K130" i="27"/>
  <c r="L130" i="27"/>
  <c r="P171" i="27" l="1"/>
  <c r="R171" i="27"/>
  <c r="S171" i="27"/>
  <c r="Q171" i="27"/>
  <c r="C24" i="41" s="1"/>
  <c r="D24" i="41" s="1"/>
  <c r="O3" i="27"/>
  <c r="R3" i="27"/>
  <c r="Q3" i="27"/>
  <c r="S3" i="27"/>
  <c r="N3" i="27"/>
  <c r="P3" i="27"/>
  <c r="O24" i="41"/>
  <c r="U171" i="27"/>
  <c r="N171" i="27" s="1"/>
  <c r="E24" i="41" s="1"/>
  <c r="Y55" i="34"/>
  <c r="Y55" i="33"/>
  <c r="W55" i="26"/>
  <c r="G146" i="27"/>
  <c r="B24" i="41" l="1"/>
  <c r="T4" i="27" a="1"/>
  <c r="T4" i="27" s="1"/>
  <c r="AH3" i="27" a="1"/>
  <c r="AH3" i="27" s="1"/>
  <c r="G155" i="27"/>
  <c r="R24" i="41"/>
  <c r="Q24" i="41"/>
  <c r="R55" i="41" l="1"/>
  <c r="R57" i="41" s="1"/>
  <c r="AB3" i="27"/>
  <c r="AG3" i="27"/>
  <c r="AF3" i="27"/>
  <c r="AE3" i="27"/>
  <c r="AD3" i="27"/>
  <c r="AC3" i="27"/>
  <c r="S4" i="27"/>
  <c r="R4" i="27"/>
  <c r="Q4" i="27"/>
  <c r="P4" i="27"/>
  <c r="O4" i="27"/>
  <c r="N4" i="27"/>
  <c r="G157" i="27"/>
  <c r="AA3" i="27" s="1" a="1"/>
  <c r="AA3" i="27" s="1"/>
  <c r="R60" i="41" l="1"/>
  <c r="P60" i="41" s="1"/>
  <c r="R59" i="41"/>
  <c r="P59" i="41" s="1"/>
  <c r="T5" i="27" a="1"/>
  <c r="T5" i="27" s="1"/>
  <c r="AH4" i="27" a="1"/>
  <c r="AH4" i="27" s="1"/>
  <c r="X3" i="27"/>
  <c r="U3" i="27"/>
  <c r="Y3" i="27"/>
  <c r="P24" i="26" s="1"/>
  <c r="V3" i="27"/>
  <c r="W3" i="27"/>
  <c r="R61" i="41" l="1"/>
  <c r="R67" i="41" s="1"/>
  <c r="D24" i="26"/>
  <c r="E24" i="34"/>
  <c r="E24" i="33"/>
  <c r="O24" i="33"/>
  <c r="O24" i="34"/>
  <c r="N24" i="26"/>
  <c r="C24" i="26"/>
  <c r="C24" i="33"/>
  <c r="C24" i="34"/>
  <c r="AD4" i="27"/>
  <c r="AE4" i="27"/>
  <c r="AC4" i="27"/>
  <c r="AB4" i="27"/>
  <c r="AG4" i="27"/>
  <c r="AF4" i="27"/>
  <c r="N5" i="27"/>
  <c r="O5" i="27"/>
  <c r="R5" i="27"/>
  <c r="P5" i="27"/>
  <c r="Q5" i="27"/>
  <c r="AA4" i="27" a="1"/>
  <c r="AA4" i="27" s="1"/>
  <c r="B24" i="26" l="1"/>
  <c r="B24" i="34"/>
  <c r="D24" i="34"/>
  <c r="B24" i="33"/>
  <c r="D24" i="33"/>
  <c r="T6" i="27" a="1"/>
  <c r="T6" i="27" s="1"/>
  <c r="AH5" i="27" a="1"/>
  <c r="AH5" i="27" s="1"/>
  <c r="U4" i="27"/>
  <c r="Z4" i="27"/>
  <c r="Q25" i="26" s="1"/>
  <c r="Y4" i="27"/>
  <c r="P25" i="26" s="1"/>
  <c r="X4" i="27"/>
  <c r="W4" i="27"/>
  <c r="V4" i="27"/>
  <c r="O25" i="34" l="1"/>
  <c r="O25" i="33"/>
  <c r="N25" i="26"/>
  <c r="C25" i="33"/>
  <c r="C25" i="26"/>
  <c r="C25" i="34"/>
  <c r="E25" i="33"/>
  <c r="D25" i="26"/>
  <c r="E25" i="34"/>
  <c r="Q24" i="33"/>
  <c r="AB5" i="27"/>
  <c r="AD5" i="27"/>
  <c r="AF5" i="27"/>
  <c r="AE5" i="27"/>
  <c r="AC5" i="27"/>
  <c r="AG5" i="27"/>
  <c r="R6" i="27"/>
  <c r="P6" i="27"/>
  <c r="O6" i="27"/>
  <c r="S6" i="27"/>
  <c r="Q6" i="27"/>
  <c r="N6" i="27"/>
  <c r="AA5" i="27" a="1"/>
  <c r="AA5" i="27" s="1"/>
  <c r="B25" i="34" l="1"/>
  <c r="D25" i="34"/>
  <c r="B25" i="26"/>
  <c r="B25" i="33"/>
  <c r="D25" i="33"/>
  <c r="T7" i="27" a="1"/>
  <c r="T7" i="27" s="1"/>
  <c r="AH6" i="27" a="1"/>
  <c r="AH6" i="27" s="1"/>
  <c r="Y5" i="27"/>
  <c r="P26" i="26" s="1"/>
  <c r="W5" i="27"/>
  <c r="V5" i="27"/>
  <c r="X5" i="27"/>
  <c r="U5" i="27"/>
  <c r="Z5" i="27"/>
  <c r="D26" i="26" l="1"/>
  <c r="E26" i="34"/>
  <c r="E26" i="33"/>
  <c r="C26" i="33"/>
  <c r="C26" i="34"/>
  <c r="C26" i="26"/>
  <c r="O26" i="33"/>
  <c r="N26" i="26"/>
  <c r="O26" i="34"/>
  <c r="Q25" i="33"/>
  <c r="R25" i="33"/>
  <c r="AG6" i="27"/>
  <c r="AE6" i="27"/>
  <c r="AC6" i="27"/>
  <c r="AF6" i="27"/>
  <c r="AB6" i="27"/>
  <c r="AD6" i="27"/>
  <c r="O7" i="27"/>
  <c r="P7" i="27"/>
  <c r="S7" i="27"/>
  <c r="Q7" i="27"/>
  <c r="N7" i="27"/>
  <c r="R7" i="27"/>
  <c r="AA6" i="27" a="1"/>
  <c r="AA6" i="27" s="1"/>
  <c r="B26" i="26" l="1"/>
  <c r="B26" i="34"/>
  <c r="D26" i="34"/>
  <c r="B26" i="33"/>
  <c r="D26" i="33"/>
  <c r="AH7" i="27" a="1"/>
  <c r="AH7" i="27" s="1"/>
  <c r="T8" i="27" a="1"/>
  <c r="T8" i="27" s="1"/>
  <c r="Z6" i="27"/>
  <c r="Q27" i="26" s="1"/>
  <c r="X6" i="27"/>
  <c r="U6" i="27"/>
  <c r="Y6" i="27"/>
  <c r="P27" i="26" s="1"/>
  <c r="V6" i="27"/>
  <c r="W6" i="27"/>
  <c r="D27" i="26" l="1"/>
  <c r="E27" i="33"/>
  <c r="E27" i="34"/>
  <c r="O27" i="34"/>
  <c r="N27" i="26"/>
  <c r="O27" i="33"/>
  <c r="C27" i="26"/>
  <c r="C27" i="33"/>
  <c r="C27" i="34"/>
  <c r="Q26" i="33"/>
  <c r="N8" i="27"/>
  <c r="O8" i="27"/>
  <c r="Q8" i="27"/>
  <c r="P8" i="27"/>
  <c r="S8" i="27"/>
  <c r="R8" i="27"/>
  <c r="AF7" i="27"/>
  <c r="AC7" i="27"/>
  <c r="AE7" i="27"/>
  <c r="AD7" i="27"/>
  <c r="AB7" i="27"/>
  <c r="AG7" i="27"/>
  <c r="AA7" i="27" a="1"/>
  <c r="AA7" i="27" s="1"/>
  <c r="B27" i="26" l="1"/>
  <c r="D27" i="34"/>
  <c r="B27" i="34"/>
  <c r="D27" i="33"/>
  <c r="B27" i="33"/>
  <c r="AH8" i="27" a="1"/>
  <c r="AH8" i="27" s="1"/>
  <c r="T9" i="27" a="1"/>
  <c r="T9" i="27" s="1"/>
  <c r="Y7" i="27"/>
  <c r="P28" i="26" s="1"/>
  <c r="Z7" i="27"/>
  <c r="Q28" i="26" s="1"/>
  <c r="W7" i="27"/>
  <c r="U7" i="27"/>
  <c r="X7" i="27"/>
  <c r="V7" i="27"/>
  <c r="E28" i="33" l="1"/>
  <c r="E28" i="34"/>
  <c r="D28" i="26"/>
  <c r="O28" i="34"/>
  <c r="N28" i="26"/>
  <c r="O28" i="33"/>
  <c r="C28" i="34"/>
  <c r="C28" i="26"/>
  <c r="C28" i="33"/>
  <c r="Q27" i="33"/>
  <c r="R27" i="33"/>
  <c r="S9" i="27"/>
  <c r="P9" i="27"/>
  <c r="O9" i="27"/>
  <c r="N9" i="27"/>
  <c r="Q9" i="27"/>
  <c r="R9" i="27"/>
  <c r="AG8" i="27"/>
  <c r="AF8" i="27"/>
  <c r="AD8" i="27"/>
  <c r="AB8" i="27"/>
  <c r="AE8" i="27"/>
  <c r="AC8" i="27"/>
  <c r="AA8" i="27" a="1"/>
  <c r="AA8" i="27" s="1"/>
  <c r="B28" i="26" l="1"/>
  <c r="B28" i="34"/>
  <c r="D28" i="34"/>
  <c r="B28" i="33"/>
  <c r="D28" i="33"/>
  <c r="T10" i="27" a="1"/>
  <c r="T10" i="27" s="1"/>
  <c r="AH9" i="27" a="1"/>
  <c r="AH9" i="27" s="1"/>
  <c r="Y8" i="27"/>
  <c r="P29" i="26" s="1"/>
  <c r="X8" i="27"/>
  <c r="V8" i="27"/>
  <c r="W8" i="27"/>
  <c r="U8" i="27"/>
  <c r="Z8" i="27"/>
  <c r="Q29" i="26" s="1"/>
  <c r="E29" i="33" l="1"/>
  <c r="D29" i="26"/>
  <c r="E29" i="34"/>
  <c r="O29" i="34"/>
  <c r="O29" i="33"/>
  <c r="N29" i="26"/>
  <c r="C29" i="34"/>
  <c r="C29" i="26"/>
  <c r="C29" i="33"/>
  <c r="Q28" i="33"/>
  <c r="R28" i="33"/>
  <c r="R10" i="27"/>
  <c r="O10" i="27"/>
  <c r="S10" i="27"/>
  <c r="P10" i="27"/>
  <c r="N10" i="27"/>
  <c r="Q10" i="27"/>
  <c r="AE9" i="27"/>
  <c r="AC9" i="27"/>
  <c r="AF9" i="27"/>
  <c r="AD9" i="27"/>
  <c r="AB9" i="27"/>
  <c r="AG9" i="27"/>
  <c r="AA9" i="27" a="1"/>
  <c r="AA9" i="27" s="1"/>
  <c r="B29" i="26" l="1"/>
  <c r="D29" i="34"/>
  <c r="B29" i="34"/>
  <c r="B29" i="33"/>
  <c r="D29" i="33"/>
  <c r="T11" i="27" a="1"/>
  <c r="T11" i="27" s="1"/>
  <c r="AH10" i="27" a="1"/>
  <c r="AH10" i="27" s="1"/>
  <c r="Y9" i="27"/>
  <c r="P30" i="26" s="1"/>
  <c r="X9" i="27"/>
  <c r="W9" i="27"/>
  <c r="Z9" i="27"/>
  <c r="Q30" i="26" s="1"/>
  <c r="U9" i="27"/>
  <c r="V9" i="27"/>
  <c r="D30" i="26" l="1"/>
  <c r="E30" i="33"/>
  <c r="E30" i="34"/>
  <c r="O30" i="34"/>
  <c r="O30" i="33"/>
  <c r="N30" i="26"/>
  <c r="C30" i="34"/>
  <c r="C30" i="33"/>
  <c r="C30" i="26"/>
  <c r="R29" i="33"/>
  <c r="Q29" i="33"/>
  <c r="R11" i="27"/>
  <c r="Q11" i="27"/>
  <c r="P11" i="27"/>
  <c r="O11" i="27"/>
  <c r="N11" i="27"/>
  <c r="S11" i="27"/>
  <c r="AB10" i="27"/>
  <c r="AD10" i="27"/>
  <c r="AE10" i="27"/>
  <c r="AG10" i="27"/>
  <c r="AC10" i="27"/>
  <c r="AF10" i="27"/>
  <c r="AA10" i="27" a="1"/>
  <c r="AA10" i="27" s="1"/>
  <c r="B30" i="26" l="1"/>
  <c r="B30" i="33"/>
  <c r="D30" i="33"/>
  <c r="D30" i="34"/>
  <c r="B30" i="34"/>
  <c r="AH11" i="27" a="1"/>
  <c r="AH11" i="27" s="1"/>
  <c r="T12" i="27" a="1"/>
  <c r="T12" i="27" s="1"/>
  <c r="W10" i="27"/>
  <c r="Y10" i="27"/>
  <c r="P31" i="26" s="1"/>
  <c r="U10" i="27"/>
  <c r="X10" i="27"/>
  <c r="Z10" i="27"/>
  <c r="Q31" i="26" s="1"/>
  <c r="V10" i="27"/>
  <c r="E31" i="33" l="1"/>
  <c r="D31" i="26"/>
  <c r="E31" i="34"/>
  <c r="Q30" i="33"/>
  <c r="R30" i="33"/>
  <c r="O31" i="33"/>
  <c r="N31" i="26"/>
  <c r="O31" i="34"/>
  <c r="C31" i="34"/>
  <c r="C31" i="26"/>
  <c r="C31" i="33"/>
  <c r="P12" i="27"/>
  <c r="N12" i="27"/>
  <c r="R12" i="27"/>
  <c r="Q12" i="27"/>
  <c r="S12" i="27"/>
  <c r="O12" i="27"/>
  <c r="AG11" i="27"/>
  <c r="AD11" i="27"/>
  <c r="AE11" i="27"/>
  <c r="AB11" i="27"/>
  <c r="AC11" i="27"/>
  <c r="AF11" i="27"/>
  <c r="AA11" i="27" a="1"/>
  <c r="AA11" i="27" s="1"/>
  <c r="B31" i="26" l="1"/>
  <c r="D31" i="33"/>
  <c r="B31" i="33"/>
  <c r="B31" i="34"/>
  <c r="D31" i="34"/>
  <c r="AH12" i="27" a="1"/>
  <c r="AH12" i="27" s="1"/>
  <c r="T13" i="27" a="1"/>
  <c r="T13" i="27" s="1"/>
  <c r="X11" i="27"/>
  <c r="Y11" i="27"/>
  <c r="P32" i="26" s="1"/>
  <c r="Z11" i="27"/>
  <c r="Q32" i="26" s="1"/>
  <c r="U11" i="27"/>
  <c r="W11" i="27"/>
  <c r="V11" i="27"/>
  <c r="C32" i="33" l="1"/>
  <c r="C32" i="26"/>
  <c r="C32" i="34"/>
  <c r="Q31" i="33"/>
  <c r="R31" i="33"/>
  <c r="O32" i="33"/>
  <c r="O32" i="34"/>
  <c r="N32" i="26"/>
  <c r="E32" i="34"/>
  <c r="D32" i="26"/>
  <c r="E32" i="33"/>
  <c r="S13" i="27"/>
  <c r="R13" i="27"/>
  <c r="P13" i="27"/>
  <c r="O13" i="27"/>
  <c r="Q13" i="27"/>
  <c r="N13" i="27"/>
  <c r="AC12" i="27"/>
  <c r="AE12" i="27"/>
  <c r="AD12" i="27"/>
  <c r="AG12" i="27"/>
  <c r="AB12" i="27"/>
  <c r="AF12" i="27"/>
  <c r="AA12" i="27" a="1"/>
  <c r="AA12" i="27" s="1"/>
  <c r="B32" i="26" l="1"/>
  <c r="D32" i="33"/>
  <c r="B32" i="33"/>
  <c r="D32" i="34"/>
  <c r="B32" i="34"/>
  <c r="T14" i="27" a="1"/>
  <c r="T14" i="27" s="1"/>
  <c r="AH13" i="27" a="1"/>
  <c r="AH13" i="27" s="1"/>
  <c r="V12" i="27"/>
  <c r="Z12" i="27"/>
  <c r="Q33" i="26" s="1"/>
  <c r="X12" i="27"/>
  <c r="Y12" i="27"/>
  <c r="P33" i="26" s="1"/>
  <c r="U12" i="27"/>
  <c r="W12" i="27"/>
  <c r="E33" i="33" l="1"/>
  <c r="E33" i="34"/>
  <c r="D33" i="26"/>
  <c r="O33" i="33"/>
  <c r="O33" i="34"/>
  <c r="N33" i="26"/>
  <c r="C33" i="26"/>
  <c r="C33" i="33"/>
  <c r="C33" i="34"/>
  <c r="Q32" i="33"/>
  <c r="R32" i="33"/>
  <c r="O14" i="27"/>
  <c r="N14" i="27"/>
  <c r="S14" i="27"/>
  <c r="R14" i="27"/>
  <c r="Q14" i="27"/>
  <c r="P14" i="27"/>
  <c r="AC13" i="27"/>
  <c r="AG13" i="27"/>
  <c r="AF13" i="27"/>
  <c r="AD13" i="27"/>
  <c r="AE13" i="27"/>
  <c r="AB13" i="27"/>
  <c r="AA13" i="27" a="1"/>
  <c r="AA13" i="27" s="1"/>
  <c r="D33" i="34" l="1"/>
  <c r="B33" i="34"/>
  <c r="B33" i="26"/>
  <c r="B33" i="33"/>
  <c r="D33" i="33"/>
  <c r="T15" i="27" a="1"/>
  <c r="T15" i="27" s="1"/>
  <c r="AH14" i="27" a="1"/>
  <c r="AH14" i="27" s="1"/>
  <c r="Z13" i="27"/>
  <c r="Q34" i="26" s="1"/>
  <c r="W13" i="27"/>
  <c r="X13" i="27"/>
  <c r="Y13" i="27"/>
  <c r="P34" i="26" s="1"/>
  <c r="U13" i="27"/>
  <c r="V13" i="27"/>
  <c r="O34" i="34" l="1"/>
  <c r="O34" i="33"/>
  <c r="N34" i="26"/>
  <c r="E34" i="34"/>
  <c r="D34" i="26"/>
  <c r="E34" i="33"/>
  <c r="C34" i="26"/>
  <c r="C34" i="34"/>
  <c r="C34" i="33"/>
  <c r="Q33" i="33"/>
  <c r="R33" i="33"/>
  <c r="AG14" i="27"/>
  <c r="AE14" i="27"/>
  <c r="AB14" i="27"/>
  <c r="AF14" i="27"/>
  <c r="AD14" i="27"/>
  <c r="AC14" i="27"/>
  <c r="R15" i="27"/>
  <c r="Q15" i="27"/>
  <c r="O15" i="27"/>
  <c r="S15" i="27"/>
  <c r="P15" i="27"/>
  <c r="N15" i="27"/>
  <c r="AA14" i="27" a="1"/>
  <c r="AA14" i="27" s="1"/>
  <c r="B34" i="26" l="1"/>
  <c r="B34" i="33"/>
  <c r="D34" i="33"/>
  <c r="B34" i="34"/>
  <c r="D34" i="34"/>
  <c r="T16" i="27" a="1"/>
  <c r="T16" i="27" s="1"/>
  <c r="AH15" i="27" a="1"/>
  <c r="AH15" i="27" s="1"/>
  <c r="Y14" i="27"/>
  <c r="P35" i="26" s="1"/>
  <c r="Z14" i="27"/>
  <c r="Q35" i="26" s="1"/>
  <c r="U14" i="27"/>
  <c r="X14" i="27"/>
  <c r="W14" i="27"/>
  <c r="V14" i="27"/>
  <c r="R34" i="33" l="1"/>
  <c r="Q34" i="33"/>
  <c r="O35" i="34"/>
  <c r="O35" i="33"/>
  <c r="N35" i="26"/>
  <c r="C35" i="33"/>
  <c r="C35" i="26"/>
  <c r="C35" i="34"/>
  <c r="E35" i="34"/>
  <c r="D35" i="26"/>
  <c r="E35" i="33"/>
  <c r="P16" i="27"/>
  <c r="R16" i="27"/>
  <c r="N16" i="27"/>
  <c r="O16" i="27"/>
  <c r="Q16" i="27"/>
  <c r="S16" i="27"/>
  <c r="AG15" i="27"/>
  <c r="AE15" i="27"/>
  <c r="AD15" i="27"/>
  <c r="AF15" i="27"/>
  <c r="AC15" i="27"/>
  <c r="AB15" i="27"/>
  <c r="AA15" i="27" a="1"/>
  <c r="AA15" i="27" s="1"/>
  <c r="D35" i="33" l="1"/>
  <c r="B35" i="33"/>
  <c r="D35" i="34"/>
  <c r="B35" i="34"/>
  <c r="B35" i="26"/>
  <c r="T17" i="27" a="1"/>
  <c r="T17" i="27" s="1"/>
  <c r="AH16" i="27" a="1"/>
  <c r="AH16" i="27" s="1"/>
  <c r="V15" i="27"/>
  <c r="X15" i="27"/>
  <c r="Y15" i="27"/>
  <c r="P36" i="26" s="1"/>
  <c r="Z15" i="27"/>
  <c r="Q36" i="26" s="1"/>
  <c r="U15" i="27"/>
  <c r="W15" i="27"/>
  <c r="Q35" i="33" l="1"/>
  <c r="R35" i="33"/>
  <c r="E36" i="33"/>
  <c r="D36" i="26"/>
  <c r="E36" i="34"/>
  <c r="C36" i="34"/>
  <c r="C36" i="26"/>
  <c r="C36" i="33"/>
  <c r="N36" i="26"/>
  <c r="O36" i="33"/>
  <c r="O36" i="34"/>
  <c r="AF16" i="27"/>
  <c r="AC16" i="27"/>
  <c r="AB16" i="27"/>
  <c r="AE16" i="27"/>
  <c r="AG16" i="27"/>
  <c r="AD16" i="27"/>
  <c r="O17" i="27"/>
  <c r="P17" i="27"/>
  <c r="R17" i="27"/>
  <c r="Q17" i="27"/>
  <c r="N17" i="27"/>
  <c r="S17" i="27"/>
  <c r="AA16" i="27" a="1"/>
  <c r="AA16" i="27" s="1"/>
  <c r="B36" i="33" l="1"/>
  <c r="D36" i="33"/>
  <c r="B36" i="26"/>
  <c r="D36" i="34"/>
  <c r="B36" i="34"/>
  <c r="T18" i="27" a="1"/>
  <c r="T18" i="27" s="1"/>
  <c r="AH17" i="27" a="1"/>
  <c r="AH17" i="27" s="1"/>
  <c r="X16" i="27"/>
  <c r="Y16" i="27"/>
  <c r="P37" i="26" s="1"/>
  <c r="W16" i="27"/>
  <c r="V16" i="27"/>
  <c r="Z16" i="27"/>
  <c r="Q37" i="26" s="1"/>
  <c r="U16" i="27"/>
  <c r="C37" i="33" l="1"/>
  <c r="C37" i="26"/>
  <c r="C37" i="34"/>
  <c r="R36" i="33"/>
  <c r="Q36" i="33"/>
  <c r="E37" i="33"/>
  <c r="D37" i="26"/>
  <c r="E37" i="34"/>
  <c r="N37" i="26"/>
  <c r="O37" i="34"/>
  <c r="O37" i="33"/>
  <c r="AE17" i="27"/>
  <c r="AC17" i="27"/>
  <c r="AG17" i="27"/>
  <c r="AF17" i="27"/>
  <c r="AB17" i="27"/>
  <c r="AD17" i="27"/>
  <c r="O18" i="27"/>
  <c r="S18" i="27"/>
  <c r="Q18" i="27"/>
  <c r="N18" i="27"/>
  <c r="R18" i="27"/>
  <c r="P18" i="27"/>
  <c r="AA17" i="27" a="1"/>
  <c r="AA17" i="27" s="1"/>
  <c r="B37" i="26" l="1"/>
  <c r="B37" i="33"/>
  <c r="D37" i="33"/>
  <c r="B37" i="34"/>
  <c r="D37" i="34"/>
  <c r="AH18" i="27" a="1"/>
  <c r="AH18" i="27" s="1"/>
  <c r="T19" i="27" a="1"/>
  <c r="T19" i="27" s="1"/>
  <c r="X17" i="27"/>
  <c r="Z17" i="27"/>
  <c r="Q38" i="26" s="1"/>
  <c r="V17" i="27"/>
  <c r="U17" i="27"/>
  <c r="W17" i="27"/>
  <c r="Y17" i="27"/>
  <c r="P38" i="26" s="1"/>
  <c r="Q37" i="33" l="1"/>
  <c r="R37" i="33"/>
  <c r="E38" i="34"/>
  <c r="E38" i="33"/>
  <c r="D38" i="26"/>
  <c r="O38" i="33"/>
  <c r="N38" i="26"/>
  <c r="O38" i="34"/>
  <c r="C38" i="33"/>
  <c r="C38" i="34"/>
  <c r="C38" i="26"/>
  <c r="O19" i="27"/>
  <c r="R19" i="27"/>
  <c r="S19" i="27"/>
  <c r="Q19" i="27"/>
  <c r="P19" i="27"/>
  <c r="N19" i="27"/>
  <c r="AC18" i="27"/>
  <c r="AB18" i="27"/>
  <c r="AF18" i="27"/>
  <c r="AD18" i="27"/>
  <c r="AG18" i="27"/>
  <c r="AE18" i="27"/>
  <c r="AA18" i="27" a="1"/>
  <c r="AA18" i="27" s="1"/>
  <c r="B38" i="26" l="1"/>
  <c r="B38" i="34"/>
  <c r="D38" i="34"/>
  <c r="B38" i="33"/>
  <c r="D38" i="33"/>
  <c r="T20" i="27" a="1"/>
  <c r="T20" i="27" s="1"/>
  <c r="AH19" i="27" a="1"/>
  <c r="AH19" i="27" s="1"/>
  <c r="Y18" i="27"/>
  <c r="P39" i="26" s="1"/>
  <c r="W18" i="27"/>
  <c r="X18" i="27"/>
  <c r="Z18" i="27"/>
  <c r="Q39" i="26" s="1"/>
  <c r="V18" i="27"/>
  <c r="U18" i="27"/>
  <c r="D39" i="26" l="1"/>
  <c r="E39" i="34"/>
  <c r="E39" i="33"/>
  <c r="N39" i="26"/>
  <c r="O39" i="33"/>
  <c r="O39" i="34"/>
  <c r="C39" i="34"/>
  <c r="C39" i="26"/>
  <c r="C39" i="33"/>
  <c r="Q38" i="33"/>
  <c r="R38" i="33"/>
  <c r="AD19" i="27"/>
  <c r="AF19" i="27"/>
  <c r="AC19" i="27"/>
  <c r="AB19" i="27"/>
  <c r="AE19" i="27"/>
  <c r="AG19" i="27"/>
  <c r="P20" i="27"/>
  <c r="S20" i="27"/>
  <c r="N20" i="27"/>
  <c r="O20" i="27"/>
  <c r="R20" i="27"/>
  <c r="Q20" i="27"/>
  <c r="AA19" i="27" a="1"/>
  <c r="AA19" i="27" s="1"/>
  <c r="B39" i="26" l="1"/>
  <c r="D39" i="33"/>
  <c r="B39" i="33"/>
  <c r="D39" i="34"/>
  <c r="B39" i="34"/>
  <c r="AH20" i="27" a="1"/>
  <c r="AH20" i="27" s="1"/>
  <c r="T21" i="27" a="1"/>
  <c r="T21" i="27" s="1"/>
  <c r="X19" i="27"/>
  <c r="Y19" i="27"/>
  <c r="P40" i="26" s="1"/>
  <c r="V19" i="27"/>
  <c r="W19" i="27"/>
  <c r="Z19" i="27"/>
  <c r="Q40" i="26" s="1"/>
  <c r="U19" i="27"/>
  <c r="Q39" i="33" l="1"/>
  <c r="R39" i="33"/>
  <c r="E40" i="33"/>
  <c r="E40" i="34"/>
  <c r="D40" i="26"/>
  <c r="O40" i="33"/>
  <c r="N40" i="26"/>
  <c r="O40" i="34"/>
  <c r="C40" i="34"/>
  <c r="C40" i="26"/>
  <c r="C40" i="33"/>
  <c r="Q21" i="27"/>
  <c r="R21" i="27"/>
  <c r="N21" i="27"/>
  <c r="P21" i="27"/>
  <c r="S21" i="27"/>
  <c r="O21" i="27"/>
  <c r="AE20" i="27"/>
  <c r="AG20" i="27"/>
  <c r="AC20" i="27"/>
  <c r="AF20" i="27"/>
  <c r="AD20" i="27"/>
  <c r="AB20" i="27"/>
  <c r="AA20" i="27" a="1"/>
  <c r="AA20" i="27" s="1"/>
  <c r="B40" i="26" l="1"/>
  <c r="D40" i="33"/>
  <c r="B40" i="33"/>
  <c r="D40" i="34"/>
  <c r="B40" i="34"/>
  <c r="T22" i="27" a="1"/>
  <c r="T22" i="27" s="1"/>
  <c r="AH21" i="27" a="1"/>
  <c r="AH21" i="27" s="1"/>
  <c r="X20" i="27"/>
  <c r="Z20" i="27"/>
  <c r="Q41" i="26" s="1"/>
  <c r="V20" i="27"/>
  <c r="U20" i="27"/>
  <c r="Y20" i="27"/>
  <c r="P41" i="26" s="1"/>
  <c r="W20" i="27"/>
  <c r="O41" i="33" l="1"/>
  <c r="N41" i="26"/>
  <c r="O41" i="34"/>
  <c r="C41" i="33"/>
  <c r="C41" i="26"/>
  <c r="C41" i="34"/>
  <c r="Q40" i="33"/>
  <c r="R40" i="33"/>
  <c r="E41" i="33"/>
  <c r="E41" i="34"/>
  <c r="D41" i="26"/>
  <c r="O22" i="27"/>
  <c r="S22" i="27"/>
  <c r="P22" i="27"/>
  <c r="Q22" i="27"/>
  <c r="R22" i="27"/>
  <c r="N22" i="27"/>
  <c r="AE21" i="27"/>
  <c r="AG21" i="27"/>
  <c r="AD21" i="27"/>
  <c r="AB21" i="27"/>
  <c r="AF21" i="27"/>
  <c r="AC21" i="27"/>
  <c r="AA21" i="27" a="1"/>
  <c r="AA21" i="27" s="1"/>
  <c r="D41" i="33" l="1"/>
  <c r="B41" i="33"/>
  <c r="B41" i="34"/>
  <c r="D41" i="34"/>
  <c r="B41" i="26"/>
  <c r="AH22" i="27" a="1"/>
  <c r="AH22" i="27" s="1"/>
  <c r="T23" i="27" a="1"/>
  <c r="T23" i="27" s="1"/>
  <c r="W21" i="27"/>
  <c r="V21" i="27"/>
  <c r="X21" i="27"/>
  <c r="U21" i="27"/>
  <c r="Z21" i="27"/>
  <c r="Q42" i="26" s="1"/>
  <c r="Y21" i="27"/>
  <c r="P42" i="26" s="1"/>
  <c r="Q41" i="33" l="1"/>
  <c r="R41" i="33"/>
  <c r="E42" i="34"/>
  <c r="E42" i="33"/>
  <c r="D42" i="26"/>
  <c r="C42" i="33"/>
  <c r="C42" i="26"/>
  <c r="C42" i="34"/>
  <c r="O42" i="34"/>
  <c r="O42" i="33"/>
  <c r="N42" i="26"/>
  <c r="O23" i="27"/>
  <c r="N23" i="27"/>
  <c r="P23" i="27"/>
  <c r="Q23" i="27"/>
  <c r="R23" i="27"/>
  <c r="S23" i="27"/>
  <c r="AF22" i="27"/>
  <c r="AC22" i="27"/>
  <c r="AG22" i="27"/>
  <c r="AD22" i="27"/>
  <c r="AE22" i="27"/>
  <c r="AB22" i="27"/>
  <c r="AA22" i="27" a="1"/>
  <c r="AA22" i="27" s="1"/>
  <c r="B42" i="26" l="1"/>
  <c r="B42" i="33"/>
  <c r="D42" i="33"/>
  <c r="D42" i="34"/>
  <c r="B42" i="34"/>
  <c r="T24" i="27" a="1"/>
  <c r="T24" i="27" s="1"/>
  <c r="AH23" i="27" a="1"/>
  <c r="AH23" i="27" s="1"/>
  <c r="X22" i="27"/>
  <c r="Z22" i="27"/>
  <c r="Q43" i="26" s="1"/>
  <c r="U22" i="27"/>
  <c r="Y22" i="27"/>
  <c r="P43" i="26" s="1"/>
  <c r="V22" i="27"/>
  <c r="W22" i="27"/>
  <c r="O43" i="33" l="1"/>
  <c r="O43" i="34"/>
  <c r="N43" i="26"/>
  <c r="E43" i="34"/>
  <c r="D43" i="26"/>
  <c r="E43" i="33"/>
  <c r="C43" i="34"/>
  <c r="C43" i="33"/>
  <c r="C43" i="26"/>
  <c r="R42" i="33"/>
  <c r="Q42" i="33"/>
  <c r="P24" i="27"/>
  <c r="Q24" i="27"/>
  <c r="N24" i="27"/>
  <c r="R24" i="27"/>
  <c r="O24" i="27"/>
  <c r="S24" i="27"/>
  <c r="AF23" i="27"/>
  <c r="AD23" i="27"/>
  <c r="AC23" i="27"/>
  <c r="AG23" i="27"/>
  <c r="AB23" i="27"/>
  <c r="AE23" i="27"/>
  <c r="AA23" i="27" a="1"/>
  <c r="AA23" i="27" s="1"/>
  <c r="B43" i="26" l="1"/>
  <c r="D43" i="33"/>
  <c r="B43" i="33"/>
  <c r="B43" i="34"/>
  <c r="D43" i="34"/>
  <c r="T25" i="27" a="1"/>
  <c r="T25" i="27" s="1"/>
  <c r="AH24" i="27" a="1"/>
  <c r="AH24" i="27" s="1"/>
  <c r="X23" i="27"/>
  <c r="V23" i="27"/>
  <c r="Y23" i="27"/>
  <c r="P44" i="26" s="1"/>
  <c r="Z23" i="27"/>
  <c r="Q44" i="26" s="1"/>
  <c r="U23" i="27"/>
  <c r="W23" i="27"/>
  <c r="Q43" i="33" l="1"/>
  <c r="R43" i="33"/>
  <c r="D44" i="26"/>
  <c r="E44" i="34"/>
  <c r="E44" i="33"/>
  <c r="O44" i="34"/>
  <c r="N44" i="26"/>
  <c r="O44" i="33"/>
  <c r="C44" i="26"/>
  <c r="C44" i="33"/>
  <c r="C44" i="34"/>
  <c r="AG24" i="27"/>
  <c r="AE24" i="27"/>
  <c r="AF24" i="27"/>
  <c r="AD24" i="27"/>
  <c r="AC24" i="27"/>
  <c r="AB24" i="27"/>
  <c r="Q25" i="27"/>
  <c r="S25" i="27"/>
  <c r="R25" i="27"/>
  <c r="O25" i="27"/>
  <c r="N25" i="27"/>
  <c r="P25" i="27"/>
  <c r="AA24" i="27" a="1"/>
  <c r="AA24" i="27" s="1"/>
  <c r="D44" i="34" l="1"/>
  <c r="B44" i="34"/>
  <c r="B44" i="33"/>
  <c r="D44" i="33"/>
  <c r="B44" i="26"/>
  <c r="AH25" i="27" a="1"/>
  <c r="AH25" i="27" s="1"/>
  <c r="T26" i="27" a="1"/>
  <c r="T26" i="27" s="1"/>
  <c r="Y24" i="27"/>
  <c r="P45" i="26" s="1"/>
  <c r="X24" i="27"/>
  <c r="W24" i="27"/>
  <c r="Z24" i="27"/>
  <c r="Q45" i="26" s="1"/>
  <c r="V24" i="27"/>
  <c r="U24" i="27"/>
  <c r="E45" i="34" l="1"/>
  <c r="E45" i="33"/>
  <c r="D45" i="26"/>
  <c r="O45" i="34"/>
  <c r="N45" i="26"/>
  <c r="O45" i="33"/>
  <c r="R44" i="33"/>
  <c r="Q44" i="33"/>
  <c r="C45" i="26"/>
  <c r="C45" i="34"/>
  <c r="C45" i="33"/>
  <c r="Q26" i="27"/>
  <c r="N26" i="27"/>
  <c r="R26" i="27"/>
  <c r="P26" i="27"/>
  <c r="S26" i="27"/>
  <c r="O26" i="27"/>
  <c r="AF25" i="27"/>
  <c r="AE25" i="27"/>
  <c r="AG25" i="27"/>
  <c r="AD25" i="27"/>
  <c r="AB25" i="27"/>
  <c r="AC25" i="27"/>
  <c r="AA25" i="27" a="1"/>
  <c r="AA25" i="27" s="1"/>
  <c r="B45" i="33" l="1"/>
  <c r="D45" i="33"/>
  <c r="B45" i="34"/>
  <c r="D45" i="34"/>
  <c r="B45" i="26"/>
  <c r="T27" i="27" a="1"/>
  <c r="T27" i="27" s="1"/>
  <c r="AH26" i="27" a="1"/>
  <c r="AH26" i="27" s="1"/>
  <c r="X25" i="27"/>
  <c r="V25" i="27"/>
  <c r="Z25" i="27"/>
  <c r="Q46" i="26" s="1"/>
  <c r="W25" i="27"/>
  <c r="Y25" i="27"/>
  <c r="P46" i="26" s="1"/>
  <c r="U25" i="27"/>
  <c r="D46" i="26" l="1"/>
  <c r="E46" i="34"/>
  <c r="E46" i="33"/>
  <c r="R45" i="33"/>
  <c r="Q45" i="33"/>
  <c r="O46" i="34"/>
  <c r="O46" i="33"/>
  <c r="N46" i="26"/>
  <c r="C46" i="33"/>
  <c r="C46" i="26"/>
  <c r="C46" i="34"/>
  <c r="AF26" i="27"/>
  <c r="AC26" i="27"/>
  <c r="AD26" i="27"/>
  <c r="AE26" i="27"/>
  <c r="AB26" i="27"/>
  <c r="AG26" i="27"/>
  <c r="O27" i="27"/>
  <c r="S27" i="27"/>
  <c r="Q27" i="27"/>
  <c r="N27" i="27"/>
  <c r="R27" i="27"/>
  <c r="P27" i="27"/>
  <c r="AA26" i="27" a="1"/>
  <c r="AA26" i="27" s="1"/>
  <c r="B46" i="26" l="1"/>
  <c r="B46" i="34"/>
  <c r="D46" i="34"/>
  <c r="B46" i="33"/>
  <c r="D46" i="33"/>
  <c r="AH27" i="27" a="1"/>
  <c r="AH27" i="27" s="1"/>
  <c r="T28" i="27" a="1"/>
  <c r="T28" i="27" s="1"/>
  <c r="V26" i="27"/>
  <c r="W26" i="27"/>
  <c r="Y26" i="27"/>
  <c r="P47" i="26" s="1"/>
  <c r="X26" i="27"/>
  <c r="Z26" i="27"/>
  <c r="Q47" i="26" s="1"/>
  <c r="U26" i="27"/>
  <c r="E47" i="34" l="1"/>
  <c r="E47" i="33"/>
  <c r="D47" i="26"/>
  <c r="C47" i="33"/>
  <c r="C47" i="26"/>
  <c r="C47" i="34"/>
  <c r="O47" i="33"/>
  <c r="N47" i="26"/>
  <c r="O47" i="34"/>
  <c r="R46" i="33"/>
  <c r="Q46" i="33"/>
  <c r="P28" i="27"/>
  <c r="N28" i="27"/>
  <c r="Q28" i="27"/>
  <c r="O28" i="27"/>
  <c r="R28" i="27"/>
  <c r="S28" i="27"/>
  <c r="AF27" i="27"/>
  <c r="AD27" i="27"/>
  <c r="AB27" i="27"/>
  <c r="AE27" i="27"/>
  <c r="AG27" i="27"/>
  <c r="AC27" i="27"/>
  <c r="AA27" i="27" a="1"/>
  <c r="AA27" i="27" s="1"/>
  <c r="B47" i="33" l="1"/>
  <c r="D47" i="33"/>
  <c r="D47" i="34"/>
  <c r="B47" i="34"/>
  <c r="B47" i="26"/>
  <c r="AH28" i="27" a="1"/>
  <c r="AH28" i="27" s="1"/>
  <c r="T29" i="27" a="1"/>
  <c r="T29" i="27" s="1"/>
  <c r="X27" i="27"/>
  <c r="V27" i="27"/>
  <c r="W27" i="27"/>
  <c r="U27" i="27"/>
  <c r="Z27" i="27"/>
  <c r="Q48" i="26" s="1"/>
  <c r="Y27" i="27"/>
  <c r="P48" i="26" s="1"/>
  <c r="R47" i="33" l="1"/>
  <c r="Q47" i="33"/>
  <c r="D48" i="26"/>
  <c r="E48" i="33"/>
  <c r="E48" i="34"/>
  <c r="N48" i="26"/>
  <c r="O48" i="34"/>
  <c r="O48" i="33"/>
  <c r="C48" i="33"/>
  <c r="C48" i="26"/>
  <c r="C48" i="34"/>
  <c r="R29" i="27"/>
  <c r="O29" i="27"/>
  <c r="Q29" i="27"/>
  <c r="P29" i="27"/>
  <c r="N29" i="27"/>
  <c r="S29" i="27"/>
  <c r="AF28" i="27"/>
  <c r="AB28" i="27"/>
  <c r="AD28" i="27"/>
  <c r="AC28" i="27"/>
  <c r="AE28" i="27"/>
  <c r="AG28" i="27"/>
  <c r="AA28" i="27" a="1"/>
  <c r="AA28" i="27" s="1"/>
  <c r="B48" i="26" l="1"/>
  <c r="B48" i="34"/>
  <c r="D48" i="34"/>
  <c r="B48" i="33"/>
  <c r="D48" i="33"/>
  <c r="T30" i="27" a="1"/>
  <c r="T30" i="27" s="1"/>
  <c r="AH29" i="27" a="1"/>
  <c r="AH29" i="27" s="1"/>
  <c r="U28" i="27"/>
  <c r="V28" i="27"/>
  <c r="W28" i="27"/>
  <c r="X28" i="27"/>
  <c r="Z28" i="27"/>
  <c r="Q49" i="26" s="1"/>
  <c r="Y28" i="27"/>
  <c r="P49" i="26" s="1"/>
  <c r="O49" i="33" l="1"/>
  <c r="N49" i="26"/>
  <c r="O49" i="34"/>
  <c r="C49" i="26"/>
  <c r="C49" i="33"/>
  <c r="C49" i="34"/>
  <c r="E49" i="34"/>
  <c r="E49" i="33"/>
  <c r="D49" i="26"/>
  <c r="R48" i="33"/>
  <c r="Q48" i="33"/>
  <c r="P30" i="27"/>
  <c r="N30" i="27"/>
  <c r="O30" i="27"/>
  <c r="R30" i="27"/>
  <c r="S30" i="27"/>
  <c r="Q30" i="27"/>
  <c r="AB29" i="27"/>
  <c r="AC29" i="27"/>
  <c r="AG29" i="27"/>
  <c r="AF29" i="27"/>
  <c r="AE29" i="27"/>
  <c r="AD29" i="27"/>
  <c r="AA29" i="27" a="1"/>
  <c r="AA29" i="27" s="1"/>
  <c r="B49" i="26" l="1"/>
  <c r="D49" i="34"/>
  <c r="B49" i="34"/>
  <c r="D49" i="33"/>
  <c r="B49" i="33"/>
  <c r="AH30" i="27" a="1"/>
  <c r="AH30" i="27" s="1"/>
  <c r="T31" i="27" a="1"/>
  <c r="T31" i="27" s="1"/>
  <c r="X29" i="27"/>
  <c r="Z29" i="27"/>
  <c r="Q50" i="26" s="1"/>
  <c r="U29" i="27"/>
  <c r="W29" i="27"/>
  <c r="V29" i="27"/>
  <c r="Y29" i="27"/>
  <c r="P50" i="26" s="1"/>
  <c r="C50" i="33" l="1"/>
  <c r="C50" i="26"/>
  <c r="C50" i="34"/>
  <c r="R49" i="33"/>
  <c r="Q49" i="33"/>
  <c r="N50" i="26"/>
  <c r="O50" i="33"/>
  <c r="O50" i="34"/>
  <c r="D50" i="26"/>
  <c r="E50" i="33"/>
  <c r="E50" i="34"/>
  <c r="N31" i="27"/>
  <c r="R31" i="27"/>
  <c r="P31" i="27"/>
  <c r="Q31" i="27"/>
  <c r="O31" i="27"/>
  <c r="S31" i="27"/>
  <c r="AG30" i="27"/>
  <c r="AB30" i="27"/>
  <c r="AF30" i="27"/>
  <c r="AD30" i="27"/>
  <c r="AE30" i="27"/>
  <c r="AC30" i="27"/>
  <c r="AA30" i="27" a="1"/>
  <c r="AA30" i="27" s="1"/>
  <c r="B50" i="26" l="1"/>
  <c r="B50" i="34"/>
  <c r="D50" i="34"/>
  <c r="B50" i="33"/>
  <c r="D50" i="33"/>
  <c r="T32" i="27" a="1"/>
  <c r="T32" i="27" s="1"/>
  <c r="AH31" i="27" a="1"/>
  <c r="AH31" i="27" s="1"/>
  <c r="Z30" i="27"/>
  <c r="Q51" i="26" s="1"/>
  <c r="U30" i="27"/>
  <c r="Y30" i="27"/>
  <c r="P51" i="26" s="1"/>
  <c r="X30" i="27"/>
  <c r="W30" i="27"/>
  <c r="V30" i="27"/>
  <c r="Q50" i="33" l="1"/>
  <c r="R50" i="33"/>
  <c r="O51" i="34"/>
  <c r="O51" i="33"/>
  <c r="N51" i="26"/>
  <c r="C51" i="33"/>
  <c r="C51" i="26"/>
  <c r="C51" i="34"/>
  <c r="D51" i="26"/>
  <c r="E51" i="33"/>
  <c r="E51" i="34"/>
  <c r="P32" i="27"/>
  <c r="O32" i="27"/>
  <c r="R32" i="27"/>
  <c r="N32" i="27"/>
  <c r="Q32" i="27"/>
  <c r="S32" i="27"/>
  <c r="AG31" i="27"/>
  <c r="AF31" i="27"/>
  <c r="AE31" i="27"/>
  <c r="AC31" i="27"/>
  <c r="AB31" i="27"/>
  <c r="AD31" i="27"/>
  <c r="AA31" i="27" a="1"/>
  <c r="AA31" i="27" s="1"/>
  <c r="B51" i="34" l="1"/>
  <c r="D51" i="34"/>
  <c r="B51" i="26"/>
  <c r="B51" i="33"/>
  <c r="D51" i="33"/>
  <c r="T33" i="27" a="1"/>
  <c r="T33" i="27" s="1"/>
  <c r="AH32" i="27" a="1"/>
  <c r="AH32" i="27" s="1"/>
  <c r="W31" i="27"/>
  <c r="U31" i="27"/>
  <c r="X31" i="27"/>
  <c r="Z31" i="27"/>
  <c r="Q52" i="26" s="1"/>
  <c r="V31" i="27"/>
  <c r="Y31" i="27"/>
  <c r="P52" i="26" s="1"/>
  <c r="C52" i="33" l="1"/>
  <c r="C52" i="34"/>
  <c r="C52" i="26"/>
  <c r="AA32" i="27" a="1"/>
  <c r="AA32" i="27" s="1"/>
  <c r="Y32" i="27" s="1"/>
  <c r="P53" i="26" s="1"/>
  <c r="E52" i="33"/>
  <c r="E52" i="34"/>
  <c r="D52" i="26"/>
  <c r="N52" i="26"/>
  <c r="O52" i="33"/>
  <c r="O52" i="34"/>
  <c r="Q51" i="33"/>
  <c r="R51" i="33"/>
  <c r="AB32" i="27"/>
  <c r="AH33" i="27" s="1" a="1"/>
  <c r="AH33" i="27" s="1"/>
  <c r="AG32" i="27"/>
  <c r="AE32" i="27"/>
  <c r="AC32" i="27"/>
  <c r="AF32" i="27"/>
  <c r="AD32" i="27"/>
  <c r="S33" i="27"/>
  <c r="O33" i="27"/>
  <c r="P33" i="27"/>
  <c r="Q33" i="27"/>
  <c r="R33" i="27"/>
  <c r="N33" i="27"/>
  <c r="B52" i="26" l="1"/>
  <c r="D52" i="34"/>
  <c r="B52" i="34"/>
  <c r="B52" i="33"/>
  <c r="D52" i="33"/>
  <c r="W32" i="27"/>
  <c r="U32" i="27"/>
  <c r="V32" i="27"/>
  <c r="Z32" i="27"/>
  <c r="Q53" i="26" s="1"/>
  <c r="X32" i="27"/>
  <c r="T34" i="27" a="1"/>
  <c r="T34" i="27" s="1"/>
  <c r="AB33" i="27"/>
  <c r="AE33" i="27"/>
  <c r="AD33" i="27"/>
  <c r="AC33" i="27"/>
  <c r="AG33" i="27"/>
  <c r="AF33" i="27"/>
  <c r="N53" i="26" l="1"/>
  <c r="O53" i="33"/>
  <c r="O53" i="34"/>
  <c r="C53" i="26"/>
  <c r="C53" i="33"/>
  <c r="C53" i="34"/>
  <c r="AA33" i="27" a="1"/>
  <c r="AA33" i="27" s="1"/>
  <c r="E53" i="34"/>
  <c r="D53" i="26"/>
  <c r="E53" i="33"/>
  <c r="R52" i="33"/>
  <c r="Q52" i="33"/>
  <c r="R34" i="27"/>
  <c r="Q34" i="27"/>
  <c r="O34" i="27"/>
  <c r="AH24" i="34" s="1"/>
  <c r="S34" i="27"/>
  <c r="N34" i="27"/>
  <c r="P34" i="27"/>
  <c r="B53" i="26" l="1"/>
  <c r="U33" i="27"/>
  <c r="Z33" i="27"/>
  <c r="Q54" i="26" s="1"/>
  <c r="X33" i="27"/>
  <c r="W33" i="27"/>
  <c r="V33" i="27"/>
  <c r="Y33" i="27"/>
  <c r="P54" i="26" s="1"/>
  <c r="D53" i="34"/>
  <c r="B53" i="34"/>
  <c r="B53" i="33"/>
  <c r="D53" i="33"/>
  <c r="AH24" i="33"/>
  <c r="AF24" i="26"/>
  <c r="X24" i="33"/>
  <c r="X24" i="34"/>
  <c r="V24" i="26"/>
  <c r="T35" i="27" a="1"/>
  <c r="T35" i="27" s="1"/>
  <c r="AI24" i="26"/>
  <c r="AK24" i="33"/>
  <c r="U24" i="26"/>
  <c r="V24" i="34"/>
  <c r="V24" i="33"/>
  <c r="AH24" i="26"/>
  <c r="AJ24" i="33"/>
  <c r="D54" i="26" l="1"/>
  <c r="E54" i="34"/>
  <c r="E54" i="33"/>
  <c r="R53" i="33"/>
  <c r="Q53" i="33"/>
  <c r="C54" i="34"/>
  <c r="C54" i="26"/>
  <c r="C54" i="33"/>
  <c r="O54" i="34"/>
  <c r="N54" i="26"/>
  <c r="O54" i="33"/>
  <c r="P35" i="27"/>
  <c r="R35" i="27"/>
  <c r="Q35" i="27"/>
  <c r="S35" i="27"/>
  <c r="N35" i="27"/>
  <c r="O35" i="27"/>
  <c r="AH25" i="34" s="1"/>
  <c r="W24" i="34"/>
  <c r="W24" i="33"/>
  <c r="B54" i="33" l="1"/>
  <c r="U24" i="33" s="1"/>
  <c r="D54" i="33"/>
  <c r="B54" i="26"/>
  <c r="T24" i="26" s="1"/>
  <c r="B54" i="34"/>
  <c r="U24" i="34" s="1"/>
  <c r="D54" i="34"/>
  <c r="X25" i="33"/>
  <c r="V25" i="26"/>
  <c r="X25" i="34"/>
  <c r="T36" i="27" a="1"/>
  <c r="T36" i="27" s="1"/>
  <c r="AK25" i="33"/>
  <c r="AI25" i="26"/>
  <c r="U25" i="26"/>
  <c r="V25" i="33"/>
  <c r="V25" i="34"/>
  <c r="AJ25" i="33"/>
  <c r="AH25" i="26"/>
  <c r="AF25" i="26"/>
  <c r="AH25" i="33"/>
  <c r="R54" i="33" l="1"/>
  <c r="Q54" i="33"/>
  <c r="T25" i="26"/>
  <c r="W25" i="34"/>
  <c r="U25" i="34"/>
  <c r="U25" i="33"/>
  <c r="W25" i="33"/>
  <c r="R36" i="27"/>
  <c r="O36" i="27"/>
  <c r="AH26" i="34" s="1"/>
  <c r="P36" i="27"/>
  <c r="Q36" i="27"/>
  <c r="N36" i="27"/>
  <c r="S36" i="27"/>
  <c r="X26" i="34" l="1"/>
  <c r="T37" i="27" a="1"/>
  <c r="T37" i="27" s="1"/>
  <c r="X26" i="33"/>
  <c r="V26" i="26"/>
  <c r="V26" i="34"/>
  <c r="V26" i="33"/>
  <c r="U26" i="26"/>
  <c r="AF26" i="26"/>
  <c r="AH26" i="33"/>
  <c r="AJ26" i="33"/>
  <c r="AH26" i="26"/>
  <c r="AK26" i="33"/>
  <c r="AI26" i="26"/>
  <c r="T26" i="26" l="1"/>
  <c r="U26" i="33"/>
  <c r="W26" i="33"/>
  <c r="W26" i="34"/>
  <c r="U26" i="34"/>
  <c r="P37" i="27"/>
  <c r="Q37" i="27"/>
  <c r="S37" i="27"/>
  <c r="R37" i="27"/>
  <c r="O37" i="27"/>
  <c r="AH27" i="34" s="1"/>
  <c r="N37" i="27"/>
  <c r="AH27" i="26" l="1"/>
  <c r="AJ27" i="33"/>
  <c r="AI27" i="26"/>
  <c r="AK27" i="33"/>
  <c r="T38" i="27" a="1"/>
  <c r="T38" i="27" s="1"/>
  <c r="V27" i="26"/>
  <c r="X27" i="33"/>
  <c r="X27" i="34"/>
  <c r="U27" i="26"/>
  <c r="V27" i="34"/>
  <c r="V27" i="33"/>
  <c r="AH27" i="33"/>
  <c r="AF27" i="26"/>
  <c r="T27" i="26" l="1"/>
  <c r="N38" i="27"/>
  <c r="S38" i="27"/>
  <c r="Q38" i="27"/>
  <c r="O38" i="27"/>
  <c r="AH28" i="34" s="1"/>
  <c r="R38" i="27"/>
  <c r="P38" i="27"/>
  <c r="W27" i="33"/>
  <c r="U27" i="33"/>
  <c r="U27" i="34"/>
  <c r="W27" i="34"/>
  <c r="AH28" i="33" l="1"/>
  <c r="AF28" i="26"/>
  <c r="AJ28" i="33"/>
  <c r="AH28" i="26"/>
  <c r="U28" i="26"/>
  <c r="V28" i="33"/>
  <c r="V28" i="34"/>
  <c r="AI28" i="26"/>
  <c r="AK28" i="33"/>
  <c r="X28" i="34"/>
  <c r="X28" i="33"/>
  <c r="T39" i="27" a="1"/>
  <c r="T39" i="27" s="1"/>
  <c r="V28" i="26"/>
  <c r="T28" i="26" l="1"/>
  <c r="W28" i="33"/>
  <c r="U28" i="33"/>
  <c r="U28" i="34"/>
  <c r="W28" i="34"/>
  <c r="P39" i="27"/>
  <c r="R39" i="27"/>
  <c r="Q39" i="27"/>
  <c r="S39" i="27"/>
  <c r="N39" i="27"/>
  <c r="O39" i="27"/>
  <c r="AH29" i="34" s="1"/>
  <c r="AI29" i="26" l="1"/>
  <c r="AK29" i="33"/>
  <c r="V29" i="33"/>
  <c r="V29" i="34"/>
  <c r="U29" i="26"/>
  <c r="X29" i="34"/>
  <c r="T40" i="27" a="1"/>
  <c r="T40" i="27" s="1"/>
  <c r="X29" i="33"/>
  <c r="V29" i="26"/>
  <c r="AH29" i="33"/>
  <c r="AF29" i="26"/>
  <c r="AH29" i="26"/>
  <c r="AJ29" i="33"/>
  <c r="N40" i="27" l="1"/>
  <c r="O40" i="27"/>
  <c r="AH30" i="34" s="1"/>
  <c r="Q40" i="27"/>
  <c r="S40" i="27"/>
  <c r="P40" i="27"/>
  <c r="R40" i="27"/>
  <c r="T29" i="26"/>
  <c r="U29" i="34"/>
  <c r="W29" i="34"/>
  <c r="W29" i="33"/>
  <c r="U29" i="33"/>
  <c r="AH30" i="26" l="1"/>
  <c r="AJ30" i="33"/>
  <c r="AH30" i="33"/>
  <c r="AF30" i="26"/>
  <c r="AI30" i="26"/>
  <c r="AK30" i="33"/>
  <c r="V30" i="34"/>
  <c r="V30" i="33"/>
  <c r="U30" i="26"/>
  <c r="V30" i="26"/>
  <c r="X30" i="34"/>
  <c r="X30" i="33"/>
  <c r="T41" i="27" a="1"/>
  <c r="T41" i="27" s="1"/>
  <c r="T30" i="26" l="1"/>
  <c r="U30" i="33"/>
  <c r="W30" i="33"/>
  <c r="U30" i="34"/>
  <c r="W30" i="34"/>
  <c r="Q41" i="27"/>
  <c r="R41" i="27"/>
  <c r="P41" i="27"/>
  <c r="O41" i="27"/>
  <c r="AH31" i="34" s="1"/>
  <c r="N41" i="27"/>
  <c r="S41" i="27"/>
  <c r="AK31" i="33" l="1"/>
  <c r="AI31" i="26"/>
  <c r="AH31" i="33"/>
  <c r="AF31" i="26"/>
  <c r="X31" i="33"/>
  <c r="X31" i="34"/>
  <c r="T42" i="27" a="1"/>
  <c r="T42" i="27" s="1"/>
  <c r="V31" i="26"/>
  <c r="AJ31" i="33"/>
  <c r="AH31" i="26"/>
  <c r="V31" i="34"/>
  <c r="V31" i="33"/>
  <c r="U31" i="26"/>
  <c r="U31" i="33" l="1"/>
  <c r="W31" i="33"/>
  <c r="O42" i="27"/>
  <c r="AH32" i="34" s="1"/>
  <c r="P42" i="27"/>
  <c r="N42" i="27"/>
  <c r="Q42" i="27"/>
  <c r="R42" i="27"/>
  <c r="S42" i="27"/>
  <c r="U31" i="34"/>
  <c r="W31" i="34"/>
  <c r="T31" i="26"/>
  <c r="AK32" i="33" l="1"/>
  <c r="AI32" i="26"/>
  <c r="AJ32" i="33"/>
  <c r="AH32" i="26"/>
  <c r="U32" i="26"/>
  <c r="V32" i="33"/>
  <c r="V32" i="34"/>
  <c r="X32" i="33"/>
  <c r="V32" i="26"/>
  <c r="T43" i="27" a="1"/>
  <c r="T43" i="27" s="1"/>
  <c r="X32" i="34"/>
  <c r="AF32" i="26"/>
  <c r="AH32" i="33"/>
  <c r="U32" i="34" l="1"/>
  <c r="W32" i="34"/>
  <c r="Q43" i="27"/>
  <c r="O43" i="27"/>
  <c r="AH33" i="34" s="1"/>
  <c r="P43" i="27"/>
  <c r="S43" i="27"/>
  <c r="R43" i="27"/>
  <c r="N43" i="27"/>
  <c r="T32" i="26"/>
  <c r="W32" i="33"/>
  <c r="U32" i="33"/>
  <c r="X33" i="33" l="1"/>
  <c r="X33" i="34"/>
  <c r="T44" i="27" a="1"/>
  <c r="T44" i="27" s="1"/>
  <c r="V33" i="26"/>
  <c r="AJ33" i="33"/>
  <c r="AH33" i="26"/>
  <c r="AI33" i="26"/>
  <c r="AK33" i="33"/>
  <c r="AF33" i="26"/>
  <c r="AH33" i="33"/>
  <c r="V33" i="34"/>
  <c r="U33" i="26"/>
  <c r="V33" i="33"/>
  <c r="T33" i="26" l="1"/>
  <c r="U33" i="34"/>
  <c r="W33" i="34"/>
  <c r="N44" i="27"/>
  <c r="S44" i="27"/>
  <c r="P44" i="27"/>
  <c r="O44" i="27"/>
  <c r="AH34" i="34" s="1"/>
  <c r="Q44" i="27"/>
  <c r="R44" i="27"/>
  <c r="W33" i="33"/>
  <c r="U33" i="33"/>
  <c r="AJ34" i="33" l="1"/>
  <c r="AH34" i="26"/>
  <c r="U34" i="26"/>
  <c r="V34" i="33"/>
  <c r="V34" i="34"/>
  <c r="AF34" i="26"/>
  <c r="AH34" i="33"/>
  <c r="AI34" i="26"/>
  <c r="AK34" i="33"/>
  <c r="X34" i="33"/>
  <c r="T45" i="27" a="1"/>
  <c r="T45" i="27" s="1"/>
  <c r="V34" i="26"/>
  <c r="X34" i="34"/>
  <c r="Q45" i="27" l="1"/>
  <c r="P45" i="27"/>
  <c r="O45" i="27"/>
  <c r="AH35" i="34" s="1"/>
  <c r="R45" i="27"/>
  <c r="N45" i="27"/>
  <c r="S45" i="27"/>
  <c r="U34" i="34"/>
  <c r="W34" i="34"/>
  <c r="U34" i="33"/>
  <c r="W34" i="33"/>
  <c r="T34" i="26"/>
  <c r="AK35" i="33" l="1"/>
  <c r="AI35" i="26"/>
  <c r="X35" i="34"/>
  <c r="T46" i="27" a="1"/>
  <c r="T46" i="27" s="1"/>
  <c r="X35" i="33"/>
  <c r="V35" i="26"/>
  <c r="AJ35" i="33"/>
  <c r="AH35" i="26"/>
  <c r="AH35" i="33"/>
  <c r="AF35" i="26"/>
  <c r="U35" i="26"/>
  <c r="V35" i="33"/>
  <c r="V35" i="34"/>
  <c r="T35" i="26" l="1"/>
  <c r="P46" i="27"/>
  <c r="R46" i="27"/>
  <c r="N46" i="27"/>
  <c r="S46" i="27"/>
  <c r="O46" i="27"/>
  <c r="AH36" i="34" s="1"/>
  <c r="Q46" i="27"/>
  <c r="U35" i="33"/>
  <c r="W35" i="33"/>
  <c r="U35" i="34"/>
  <c r="W35" i="34"/>
  <c r="V36" i="33" l="1"/>
  <c r="V36" i="34"/>
  <c r="U36" i="26"/>
  <c r="AK36" i="33"/>
  <c r="AI36" i="26"/>
  <c r="V36" i="26"/>
  <c r="X36" i="33"/>
  <c r="T47" i="27" a="1"/>
  <c r="T47" i="27" s="1"/>
  <c r="X36" i="34"/>
  <c r="AJ36" i="33"/>
  <c r="AH36" i="26"/>
  <c r="AF36" i="26"/>
  <c r="AH36" i="33"/>
  <c r="T36" i="26" l="1"/>
  <c r="R47" i="27"/>
  <c r="O47" i="27"/>
  <c r="AH37" i="34" s="1"/>
  <c r="P47" i="27"/>
  <c r="Q47" i="27"/>
  <c r="N47" i="27"/>
  <c r="S47" i="27"/>
  <c r="W36" i="34"/>
  <c r="U36" i="34"/>
  <c r="W36" i="33"/>
  <c r="U36" i="33"/>
  <c r="AK37" i="33" l="1"/>
  <c r="AI37" i="26"/>
  <c r="X37" i="34"/>
  <c r="V37" i="26"/>
  <c r="X37" i="33"/>
  <c r="T48" i="27" a="1"/>
  <c r="T48" i="27" s="1"/>
  <c r="V37" i="34"/>
  <c r="U37" i="26"/>
  <c r="V37" i="33"/>
  <c r="AF37" i="26"/>
  <c r="AH37" i="33"/>
  <c r="AH37" i="26"/>
  <c r="AJ37" i="33"/>
  <c r="T37" i="26" l="1"/>
  <c r="U37" i="33"/>
  <c r="W37" i="33"/>
  <c r="W37" i="34"/>
  <c r="U37" i="34"/>
  <c r="R48" i="27"/>
  <c r="O48" i="27"/>
  <c r="AH38" i="34" s="1"/>
  <c r="Q48" i="27"/>
  <c r="P48" i="27"/>
  <c r="N48" i="27"/>
  <c r="S48" i="27"/>
  <c r="AF38" i="26" l="1"/>
  <c r="AH38" i="33"/>
  <c r="V38" i="34"/>
  <c r="V38" i="33"/>
  <c r="U38" i="26"/>
  <c r="AH38" i="26"/>
  <c r="AJ38" i="33"/>
  <c r="AK38" i="33"/>
  <c r="AI38" i="26"/>
  <c r="V38" i="26"/>
  <c r="T49" i="27" a="1"/>
  <c r="T49" i="27" s="1"/>
  <c r="X38" i="34"/>
  <c r="X38" i="33"/>
  <c r="P49" i="27" l="1"/>
  <c r="N49" i="27"/>
  <c r="O49" i="27"/>
  <c r="AH39" i="34" s="1"/>
  <c r="S49" i="27"/>
  <c r="Q49" i="27"/>
  <c r="R49" i="27"/>
  <c r="T38" i="26"/>
  <c r="U38" i="33"/>
  <c r="W38" i="33"/>
  <c r="U38" i="34"/>
  <c r="W38" i="34"/>
  <c r="AJ39" i="33" l="1"/>
  <c r="AH39" i="26"/>
  <c r="V39" i="33"/>
  <c r="U39" i="26"/>
  <c r="V39" i="34"/>
  <c r="AI39" i="26"/>
  <c r="AK39" i="33"/>
  <c r="X39" i="33"/>
  <c r="X39" i="34"/>
  <c r="V39" i="26"/>
  <c r="T50" i="27" a="1"/>
  <c r="T50" i="27" s="1"/>
  <c r="AF39" i="26"/>
  <c r="AH39" i="33"/>
  <c r="W39" i="34" l="1"/>
  <c r="U39" i="34"/>
  <c r="T39" i="26"/>
  <c r="U39" i="33"/>
  <c r="W39" i="33"/>
  <c r="O50" i="27"/>
  <c r="AH40" i="34" s="1"/>
  <c r="Q50" i="27"/>
  <c r="P50" i="27"/>
  <c r="S50" i="27"/>
  <c r="N50" i="27"/>
  <c r="R50" i="27"/>
  <c r="T51" i="27" l="1" a="1"/>
  <c r="T51" i="27" s="1"/>
  <c r="V40" i="26"/>
  <c r="X40" i="33"/>
  <c r="X40" i="34"/>
  <c r="AI40" i="26"/>
  <c r="AK40" i="33"/>
  <c r="AH40" i="26"/>
  <c r="AJ40" i="33"/>
  <c r="AF40" i="26"/>
  <c r="AH40" i="33"/>
  <c r="V40" i="33"/>
  <c r="V40" i="34"/>
  <c r="U40" i="26"/>
  <c r="T40" i="26" l="1"/>
  <c r="U40" i="34"/>
  <c r="W40" i="34"/>
  <c r="W40" i="33"/>
  <c r="U40" i="33"/>
  <c r="R51" i="27"/>
  <c r="Q51" i="27"/>
  <c r="P51" i="27"/>
  <c r="S51" i="27"/>
  <c r="O51" i="27"/>
  <c r="AH41" i="34" s="1"/>
  <c r="N51" i="27"/>
  <c r="AK41" i="33" l="1"/>
  <c r="AI41" i="26"/>
  <c r="AF41" i="26"/>
  <c r="AH41" i="33"/>
  <c r="V41" i="34"/>
  <c r="U41" i="26"/>
  <c r="V41" i="33"/>
  <c r="AH41" i="26"/>
  <c r="AJ41" i="33"/>
  <c r="V41" i="26"/>
  <c r="X41" i="34"/>
  <c r="T52" i="27" a="1"/>
  <c r="T52" i="27" s="1"/>
  <c r="X41" i="33"/>
  <c r="W41" i="34" l="1"/>
  <c r="U41" i="34"/>
  <c r="N52" i="27"/>
  <c r="R52" i="27"/>
  <c r="P52" i="27"/>
  <c r="Q52" i="27"/>
  <c r="O52" i="27"/>
  <c r="AH42" i="34" s="1"/>
  <c r="S52" i="27"/>
  <c r="W41" i="33"/>
  <c r="U41" i="33"/>
  <c r="T41" i="26"/>
  <c r="AK42" i="33" l="1"/>
  <c r="AI42" i="26"/>
  <c r="AH42" i="33"/>
  <c r="AF42" i="26"/>
  <c r="AJ42" i="33"/>
  <c r="AH42" i="26"/>
  <c r="X42" i="34"/>
  <c r="X42" i="33"/>
  <c r="V42" i="26"/>
  <c r="T53" i="27" a="1"/>
  <c r="T53" i="27" s="1"/>
  <c r="V42" i="33"/>
  <c r="U42" i="26"/>
  <c r="V42" i="34"/>
  <c r="T42" i="26" l="1"/>
  <c r="U42" i="33"/>
  <c r="W42" i="33"/>
  <c r="R53" i="27"/>
  <c r="O53" i="27"/>
  <c r="AH43" i="34" s="1"/>
  <c r="Q53" i="27"/>
  <c r="S53" i="27"/>
  <c r="P53" i="27"/>
  <c r="N53" i="27"/>
  <c r="U42" i="34"/>
  <c r="W42" i="34"/>
  <c r="X43" i="33" l="1"/>
  <c r="X43" i="34"/>
  <c r="V43" i="26"/>
  <c r="T54" i="27" a="1"/>
  <c r="T54" i="27" s="1"/>
  <c r="AH43" i="33"/>
  <c r="AF43" i="26"/>
  <c r="AK43" i="33"/>
  <c r="AI43" i="26"/>
  <c r="V43" i="34"/>
  <c r="V43" i="33"/>
  <c r="U43" i="26"/>
  <c r="AH43" i="26"/>
  <c r="AJ43" i="33"/>
  <c r="T43" i="26" l="1"/>
  <c r="U43" i="34"/>
  <c r="W43" i="34"/>
  <c r="U43" i="33"/>
  <c r="W43" i="33"/>
  <c r="Q54" i="27"/>
  <c r="O54" i="27"/>
  <c r="AH44" i="34" s="1"/>
  <c r="R54" i="27"/>
  <c r="N54" i="27"/>
  <c r="P54" i="27"/>
  <c r="S54" i="27"/>
  <c r="AK44" i="33" l="1"/>
  <c r="AI44" i="26"/>
  <c r="V44" i="26"/>
  <c r="T55" i="27" a="1"/>
  <c r="T55" i="27" s="1"/>
  <c r="X44" i="33"/>
  <c r="X44" i="34"/>
  <c r="AJ44" i="33"/>
  <c r="AH44" i="26"/>
  <c r="AF44" i="26"/>
  <c r="AH44" i="33"/>
  <c r="V44" i="34"/>
  <c r="V44" i="33"/>
  <c r="U44" i="26"/>
  <c r="T44" i="26" l="1"/>
  <c r="W44" i="34"/>
  <c r="U44" i="34"/>
  <c r="Q55" i="27"/>
  <c r="S55" i="27"/>
  <c r="N55" i="27"/>
  <c r="R55" i="27"/>
  <c r="O55" i="27"/>
  <c r="AH45" i="34" s="1"/>
  <c r="P55" i="27"/>
  <c r="W44" i="33"/>
  <c r="U44" i="33"/>
  <c r="AH45" i="33" l="1"/>
  <c r="AF45" i="26"/>
  <c r="V45" i="26"/>
  <c r="X45" i="33"/>
  <c r="X45" i="34"/>
  <c r="T56" i="27" a="1"/>
  <c r="T56" i="27" s="1"/>
  <c r="AI45" i="26"/>
  <c r="AK45" i="33"/>
  <c r="V45" i="33"/>
  <c r="V45" i="34"/>
  <c r="U45" i="26"/>
  <c r="AH45" i="26"/>
  <c r="AJ45" i="33"/>
  <c r="T45" i="26" l="1"/>
  <c r="W45" i="34"/>
  <c r="U45" i="34"/>
  <c r="U45" i="33"/>
  <c r="W45" i="33"/>
  <c r="P56" i="27"/>
  <c r="O56" i="27"/>
  <c r="AH46" i="34" s="1"/>
  <c r="S56" i="27"/>
  <c r="Q56" i="27"/>
  <c r="N56" i="27"/>
  <c r="R56" i="27"/>
  <c r="V46" i="34" l="1"/>
  <c r="V46" i="33"/>
  <c r="U46" i="26"/>
  <c r="AJ46" i="33"/>
  <c r="AH46" i="26"/>
  <c r="AK46" i="33"/>
  <c r="AI46" i="26"/>
  <c r="AF46" i="26"/>
  <c r="AH46" i="33"/>
  <c r="V46" i="26"/>
  <c r="T57" i="27" a="1"/>
  <c r="T57" i="27" s="1"/>
  <c r="X46" i="34"/>
  <c r="X46" i="33"/>
  <c r="T46" i="26" l="1"/>
  <c r="W46" i="33"/>
  <c r="U46" i="33"/>
  <c r="N57" i="27"/>
  <c r="S57" i="27"/>
  <c r="O57" i="27"/>
  <c r="AH47" i="34" s="1"/>
  <c r="R57" i="27"/>
  <c r="Q57" i="27"/>
  <c r="P57" i="27"/>
  <c r="U46" i="34"/>
  <c r="W46" i="34"/>
  <c r="AF47" i="26" l="1"/>
  <c r="AH47" i="33"/>
  <c r="V47" i="34"/>
  <c r="U47" i="26"/>
  <c r="V47" i="33"/>
  <c r="AH47" i="26"/>
  <c r="AJ47" i="33"/>
  <c r="AK47" i="33"/>
  <c r="AI47" i="26"/>
  <c r="X47" i="33"/>
  <c r="T58" i="27" a="1"/>
  <c r="T58" i="27" s="1"/>
  <c r="X47" i="34"/>
  <c r="V47" i="26"/>
  <c r="T47" i="26" l="1"/>
  <c r="S58" i="27"/>
  <c r="P58" i="27"/>
  <c r="R58" i="27"/>
  <c r="Q58" i="27"/>
  <c r="N58" i="27"/>
  <c r="O58" i="27"/>
  <c r="AH48" i="34" s="1"/>
  <c r="W47" i="33"/>
  <c r="U47" i="33"/>
  <c r="W47" i="34"/>
  <c r="U47" i="34"/>
  <c r="V48" i="26" l="1"/>
  <c r="T59" i="27" a="1"/>
  <c r="T59" i="27" s="1"/>
  <c r="X48" i="33"/>
  <c r="X48" i="34"/>
  <c r="V48" i="34"/>
  <c r="V48" i="33"/>
  <c r="U48" i="26"/>
  <c r="AJ48" i="33"/>
  <c r="AH48" i="26"/>
  <c r="AH48" i="33"/>
  <c r="AF48" i="26"/>
  <c r="AI48" i="26"/>
  <c r="AK48" i="33"/>
  <c r="T48" i="26" l="1"/>
  <c r="W48" i="33"/>
  <c r="U48" i="33"/>
  <c r="W48" i="34"/>
  <c r="U48" i="34"/>
  <c r="Q59" i="27"/>
  <c r="O59" i="27"/>
  <c r="AH49" i="34" s="1"/>
  <c r="N59" i="27"/>
  <c r="P59" i="27"/>
  <c r="R59" i="27"/>
  <c r="S59" i="27"/>
  <c r="AH49" i="26" l="1"/>
  <c r="AJ49" i="33"/>
  <c r="AH49" i="33"/>
  <c r="AF49" i="26"/>
  <c r="AK49" i="33"/>
  <c r="AI49" i="26"/>
  <c r="X49" i="33"/>
  <c r="V49" i="26"/>
  <c r="T60" i="27" a="1"/>
  <c r="T60" i="27" s="1"/>
  <c r="X49" i="34"/>
  <c r="U49" i="26"/>
  <c r="V49" i="34"/>
  <c r="V49" i="33"/>
  <c r="T49" i="26" l="1"/>
  <c r="Q60" i="27"/>
  <c r="R60" i="27"/>
  <c r="P60" i="27"/>
  <c r="O60" i="27"/>
  <c r="AH50" i="34" s="1"/>
  <c r="S60" i="27"/>
  <c r="N60" i="27"/>
  <c r="W49" i="34"/>
  <c r="U49" i="34"/>
  <c r="W49" i="33"/>
  <c r="U49" i="33"/>
  <c r="V50" i="26" l="1"/>
  <c r="T61" i="27" a="1"/>
  <c r="T61" i="27" s="1"/>
  <c r="X50" i="34"/>
  <c r="X50" i="33"/>
  <c r="AI50" i="26"/>
  <c r="AK50" i="33"/>
  <c r="AF50" i="26"/>
  <c r="AH50" i="33"/>
  <c r="AJ50" i="33"/>
  <c r="AH50" i="26"/>
  <c r="V50" i="34"/>
  <c r="U50" i="26"/>
  <c r="V50" i="33"/>
  <c r="T50" i="26" l="1"/>
  <c r="U50" i="34"/>
  <c r="W50" i="34"/>
  <c r="R61" i="27"/>
  <c r="O61" i="27"/>
  <c r="AH51" i="34" s="1"/>
  <c r="N61" i="27"/>
  <c r="Q61" i="27"/>
  <c r="S61" i="27"/>
  <c r="P61" i="27"/>
  <c r="U50" i="33"/>
  <c r="W50" i="33"/>
  <c r="AF51" i="26" l="1"/>
  <c r="AH51" i="33"/>
  <c r="AK51" i="33"/>
  <c r="AI51" i="26"/>
  <c r="V51" i="34"/>
  <c r="U51" i="26"/>
  <c r="V51" i="33"/>
  <c r="X51" i="34"/>
  <c r="T62" i="27" a="1"/>
  <c r="T62" i="27" s="1"/>
  <c r="V51" i="26"/>
  <c r="X51" i="33"/>
  <c r="AH51" i="26"/>
  <c r="AJ51" i="33"/>
  <c r="U51" i="33" l="1"/>
  <c r="W51" i="33"/>
  <c r="T51" i="26"/>
  <c r="U51" i="34"/>
  <c r="W51" i="34"/>
  <c r="P62" i="27"/>
  <c r="Q62" i="27"/>
  <c r="S62" i="27"/>
  <c r="N62" i="27"/>
  <c r="O62" i="27"/>
  <c r="AH52" i="34" s="1"/>
  <c r="R62" i="27"/>
  <c r="AI52" i="26" l="1"/>
  <c r="AK52" i="33"/>
  <c r="V52" i="33"/>
  <c r="U52" i="26"/>
  <c r="V52" i="34"/>
  <c r="AF52" i="26"/>
  <c r="AH52" i="33"/>
  <c r="V52" i="26"/>
  <c r="T63" i="27" a="1"/>
  <c r="T63" i="27" s="1"/>
  <c r="X52" i="34"/>
  <c r="X52" i="33"/>
  <c r="AJ52" i="33"/>
  <c r="AH52" i="26"/>
  <c r="U52" i="34" l="1"/>
  <c r="W52" i="34"/>
  <c r="T52" i="26"/>
  <c r="W52" i="33"/>
  <c r="U52" i="33"/>
  <c r="O63" i="27"/>
  <c r="AH53" i="34" s="1"/>
  <c r="Q63" i="27"/>
  <c r="R63" i="27"/>
  <c r="S63" i="27"/>
  <c r="P63" i="27"/>
  <c r="N63" i="27"/>
  <c r="AI53" i="26" l="1"/>
  <c r="AK53" i="33"/>
  <c r="AJ53" i="33"/>
  <c r="AH53" i="26"/>
  <c r="V53" i="34"/>
  <c r="U53" i="26"/>
  <c r="V53" i="33"/>
  <c r="X53" i="33"/>
  <c r="V53" i="26"/>
  <c r="X53" i="34"/>
  <c r="T64" i="27" a="1"/>
  <c r="T64" i="27" s="1"/>
  <c r="AH53" i="33"/>
  <c r="AF53" i="26"/>
  <c r="U53" i="34" l="1"/>
  <c r="W53" i="34"/>
  <c r="T53" i="26"/>
  <c r="R64" i="27"/>
  <c r="P64" i="27"/>
  <c r="N64" i="27"/>
  <c r="Q64" i="27"/>
  <c r="S64" i="27"/>
  <c r="O64" i="27"/>
  <c r="AH54" i="34" s="1"/>
  <c r="W53" i="33"/>
  <c r="U53" i="33"/>
  <c r="AH54" i="33" l="1"/>
  <c r="AF54" i="26"/>
  <c r="U54" i="26"/>
  <c r="V54" i="34"/>
  <c r="V54" i="33"/>
  <c r="AH54" i="26"/>
  <c r="AJ54" i="33"/>
  <c r="AK54" i="33"/>
  <c r="AI54" i="26"/>
  <c r="X54" i="34"/>
  <c r="R65" i="34" s="1"/>
  <c r="F55" i="34" s="1"/>
  <c r="V54" i="26"/>
  <c r="Q65" i="26" s="1"/>
  <c r="D55" i="26" s="1"/>
  <c r="X54" i="33"/>
  <c r="R65" i="33" s="1"/>
  <c r="E55" i="33" s="1"/>
  <c r="Z3" i="27" l="1"/>
  <c r="S5" i="27"/>
  <c r="AK57" i="33"/>
  <c r="U54" i="33"/>
  <c r="W54" i="33"/>
  <c r="AI57" i="26"/>
  <c r="U54" i="34"/>
  <c r="W54" i="34"/>
  <c r="T54" i="26"/>
  <c r="Q24" i="26" l="1"/>
  <c r="R24" i="33"/>
  <c r="Q26" i="26"/>
  <c r="R26" i="33"/>
  <c r="AI59" i="26"/>
  <c r="AG59" i="26" s="1"/>
  <c r="AI60" i="26"/>
  <c r="AG60" i="26" s="1"/>
  <c r="AK60" i="33"/>
  <c r="AI60" i="33" s="1"/>
  <c r="AK59" i="33"/>
  <c r="AI59" i="33" s="1"/>
  <c r="R55" i="33" l="1"/>
  <c r="R57" i="33" s="1"/>
  <c r="R60" i="33" s="1"/>
  <c r="P60" i="33" s="1"/>
  <c r="Q55" i="26"/>
  <c r="Q57" i="26" s="1"/>
  <c r="AK61" i="33"/>
  <c r="AI61" i="26"/>
  <c r="Q59" i="26" l="1"/>
  <c r="O59" i="26" s="1"/>
  <c r="Q60" i="26"/>
  <c r="O60" i="26" s="1"/>
  <c r="I6" i="35"/>
  <c r="C6" i="35"/>
  <c r="G6" i="35"/>
  <c r="R59" i="33"/>
  <c r="P59" i="33" s="1"/>
  <c r="R61" i="33" l="1"/>
  <c r="R67" i="33" s="1"/>
  <c r="Q61" i="26"/>
  <c r="L1" i="27" s="1"/>
  <c r="Q67" i="26" l="1"/>
  <c r="K1"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Tech-Eurocom</author>
  </authors>
  <commentList>
    <comment ref="H7" authorId="0" shapeId="0" xr:uid="{64D4C583-5877-4160-AEB9-80540DF01FE1}">
      <text>
        <r>
          <rPr>
            <b/>
            <sz val="9"/>
            <color indexed="39"/>
            <rFont val="Tahoma"/>
            <family val="2"/>
          </rPr>
          <t>☑ Split in 2 invoices:</t>
        </r>
        <r>
          <rPr>
            <sz val="9"/>
            <color indexed="81"/>
            <rFont val="Tahoma"/>
            <family val="2"/>
          </rPr>
          <t xml:space="preserve">
When this item is </t>
        </r>
        <r>
          <rPr>
            <u/>
            <sz val="9"/>
            <color indexed="81"/>
            <rFont val="Tahoma"/>
            <family val="2"/>
          </rPr>
          <t>not</t>
        </r>
        <r>
          <rPr>
            <sz val="9"/>
            <color indexed="81"/>
            <rFont val="Tahoma"/>
            <family val="2"/>
          </rPr>
          <t xml:space="preserve"> checked, all merchandises are shown on the same invoice and are sold as a scientific instrument measurement system (e.g. WinRHIZO Pro System including software, scanner and accessories with a single price and customs' harmonised code).
When it is checked, two invoices are generated. Software items are on the first invoice and hardware items on the second one. Each item has its own price and harmonised code (different from a system). The order is considered as two distinct orders, the invoices have two different numbers and they are shipped separately.
</t>
        </r>
      </text>
    </comment>
    <comment ref="J7" authorId="0" shapeId="0" xr:uid="{1333DC0C-9D02-445D-B58F-6C12F982E51C}">
      <text>
        <r>
          <rPr>
            <b/>
            <sz val="9"/>
            <color indexed="39"/>
            <rFont val="Tahoma"/>
            <family val="2"/>
          </rPr>
          <t>☑ Internet Download:</t>
        </r>
        <r>
          <rPr>
            <sz val="9"/>
            <color indexed="81"/>
            <rFont val="Tahoma"/>
            <family val="2"/>
          </rPr>
          <t xml:space="preserve">
This item has an effect only when </t>
        </r>
        <r>
          <rPr>
            <sz val="9"/>
            <color indexed="39"/>
            <rFont val="Tahoma"/>
            <family val="2"/>
          </rPr>
          <t xml:space="preserve">☑ </t>
        </r>
        <r>
          <rPr>
            <i/>
            <sz val="9"/>
            <color indexed="39"/>
            <rFont val="Tahoma"/>
            <family val="2"/>
          </rPr>
          <t>Split in 2 invoices</t>
        </r>
        <r>
          <rPr>
            <sz val="9"/>
            <color indexed="81"/>
            <rFont val="Tahoma"/>
            <family val="2"/>
          </rPr>
          <t xml:space="preserve"> </t>
        </r>
        <r>
          <rPr>
            <u/>
            <sz val="9"/>
            <color indexed="81"/>
            <rFont val="Tahoma"/>
            <family val="2"/>
          </rPr>
          <t>is</t>
        </r>
        <r>
          <rPr>
            <sz val="9"/>
            <color indexed="81"/>
            <rFont val="Tahoma"/>
            <family val="2"/>
          </rPr>
          <t xml:space="preserve"> checked. 
• If </t>
        </r>
        <r>
          <rPr>
            <sz val="9"/>
            <color indexed="39"/>
            <rFont val="Tahoma"/>
            <family val="2"/>
          </rPr>
          <t xml:space="preserve">☐ </t>
        </r>
        <r>
          <rPr>
            <i/>
            <sz val="9"/>
            <color indexed="39"/>
            <rFont val="Tahoma"/>
            <family val="2"/>
          </rPr>
          <t>Internet Download</t>
        </r>
        <r>
          <rPr>
            <sz val="9"/>
            <color indexed="81"/>
            <rFont val="Tahoma"/>
            <family val="2"/>
          </rPr>
          <t xml:space="preserve"> is </t>
        </r>
        <r>
          <rPr>
            <u/>
            <sz val="9"/>
            <color indexed="81"/>
            <rFont val="Tahoma"/>
            <family val="2"/>
          </rPr>
          <t>not</t>
        </r>
        <r>
          <rPr>
            <sz val="9"/>
            <color indexed="81"/>
            <rFont val="Tahoma"/>
            <family val="2"/>
          </rPr>
          <t xml:space="preserve"> checked, the software on invoice #1 is shipped by carrier on the USB drive/key with pdf &amp; printed manuals. The declared value for customs is the software plus USB drive values.
• If it is checked, the software must be downloaded from the Internet (we provide a download link). The software USB drive (key) is shipped with the hardware listed on the second invoice (but the software is not on the key, the customer must copy the downloaded content to the key). The declared value for customs is the hardware including USB drive values (but no software value).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Tech-Eurocom</author>
  </authors>
  <commentList>
    <comment ref="I7" authorId="0" shapeId="0" xr:uid="{1A50EC63-8597-4D83-BF83-914111041ECC}">
      <text>
        <r>
          <rPr>
            <b/>
            <sz val="9"/>
            <color indexed="39"/>
            <rFont val="Tahoma"/>
            <family val="2"/>
          </rPr>
          <t>☑ Split in 2 invoices:</t>
        </r>
        <r>
          <rPr>
            <sz val="9"/>
            <color indexed="81"/>
            <rFont val="Tahoma"/>
            <family val="2"/>
          </rPr>
          <t xml:space="preserve">
When this item is </t>
        </r>
        <r>
          <rPr>
            <u/>
            <sz val="9"/>
            <color indexed="81"/>
            <rFont val="Tahoma"/>
            <family val="2"/>
          </rPr>
          <t>not</t>
        </r>
        <r>
          <rPr>
            <sz val="9"/>
            <color indexed="81"/>
            <rFont val="Tahoma"/>
            <family val="2"/>
          </rPr>
          <t xml:space="preserve"> checked, all merchandises are shown on the same invoice and are sold as a scientific instrument measurement system (e.g. WinRHIZO Pro System including software, scanner and accessories with a single price and customs' harmonised code).
When it is checked, two invoices are generated. Software items are on the first invoice and hardware items on the second one. Each item has its own price and harmonised code (different from a system). The order is considered as two distinct orders, the invoices have two different numbers and they are shipped separately.
</t>
        </r>
      </text>
    </comment>
    <comment ref="K7" authorId="0" shapeId="0" xr:uid="{92BE328C-E744-4BE6-A303-0911D276AA6F}">
      <text>
        <r>
          <rPr>
            <b/>
            <sz val="9"/>
            <color indexed="39"/>
            <rFont val="Tahoma"/>
            <family val="2"/>
          </rPr>
          <t>☑ Internet Download:</t>
        </r>
        <r>
          <rPr>
            <sz val="9"/>
            <color indexed="81"/>
            <rFont val="Tahoma"/>
            <family val="2"/>
          </rPr>
          <t xml:space="preserve">
This item has an effect only when </t>
        </r>
        <r>
          <rPr>
            <sz val="9"/>
            <color indexed="39"/>
            <rFont val="Tahoma"/>
            <family val="2"/>
          </rPr>
          <t xml:space="preserve">☑ </t>
        </r>
        <r>
          <rPr>
            <i/>
            <sz val="9"/>
            <color indexed="39"/>
            <rFont val="Tahoma"/>
            <family val="2"/>
          </rPr>
          <t>Split in 2 invoices</t>
        </r>
        <r>
          <rPr>
            <sz val="9"/>
            <color indexed="81"/>
            <rFont val="Tahoma"/>
            <family val="2"/>
          </rPr>
          <t xml:space="preserve"> </t>
        </r>
        <r>
          <rPr>
            <u/>
            <sz val="9"/>
            <color indexed="81"/>
            <rFont val="Tahoma"/>
            <family val="2"/>
          </rPr>
          <t>is</t>
        </r>
        <r>
          <rPr>
            <sz val="9"/>
            <color indexed="81"/>
            <rFont val="Tahoma"/>
            <family val="2"/>
          </rPr>
          <t xml:space="preserve"> checked. 
• If </t>
        </r>
        <r>
          <rPr>
            <sz val="9"/>
            <color indexed="39"/>
            <rFont val="Tahoma"/>
            <family val="2"/>
          </rPr>
          <t xml:space="preserve">☐ </t>
        </r>
        <r>
          <rPr>
            <i/>
            <sz val="9"/>
            <color indexed="39"/>
            <rFont val="Tahoma"/>
            <family val="2"/>
          </rPr>
          <t>Internet Download</t>
        </r>
        <r>
          <rPr>
            <sz val="9"/>
            <color indexed="81"/>
            <rFont val="Tahoma"/>
            <family val="2"/>
          </rPr>
          <t xml:space="preserve"> is </t>
        </r>
        <r>
          <rPr>
            <u/>
            <sz val="9"/>
            <color indexed="81"/>
            <rFont val="Tahoma"/>
            <family val="2"/>
          </rPr>
          <t>not</t>
        </r>
        <r>
          <rPr>
            <sz val="9"/>
            <color indexed="81"/>
            <rFont val="Tahoma"/>
            <family val="2"/>
          </rPr>
          <t xml:space="preserve"> checked, the software on invoice #1 is shipped by carrier on the USB drive/key with pdf &amp; printed manuals. The declared value for customs is the software plus USB drive values.
• If it is checked, the software must be downloaded from the Internet (we provide a download link). The software USB drive (key) is shipped with the hardware listed on the second invoice (but the software is not on the key, the customer must copy the downloaded content to the key). The declared value for customs is the hardware including USB drive values (but no software value).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Tech-Eurocom</author>
  </authors>
  <commentList>
    <comment ref="D25" authorId="0" shapeId="0" xr:uid="{6A4941BC-099C-4264-B25A-024B015B9F41}">
      <text>
        <r>
          <rPr>
            <b/>
            <sz val="9"/>
            <color indexed="81"/>
            <rFont val="Tahoma"/>
            <family val="2"/>
          </rPr>
          <t>Tech-Eurocom:</t>
        </r>
        <r>
          <rPr>
            <sz val="9"/>
            <color indexed="81"/>
            <rFont val="Tahoma"/>
            <family val="2"/>
          </rPr>
          <t xml:space="preserve">
Doit être =2 vu que c'est la seule version disponible maintenant (sinon le calcul d'upgrade bug)</t>
        </r>
      </text>
    </comment>
    <comment ref="I25" authorId="0" shapeId="0" xr:uid="{D5EC2B29-A191-4D99-8EEA-CF610D2285FF}">
      <text>
        <r>
          <rPr>
            <b/>
            <sz val="9"/>
            <color indexed="81"/>
            <rFont val="Tahoma"/>
            <family val="2"/>
          </rPr>
          <t>Tech-Eurocom:</t>
        </r>
        <r>
          <rPr>
            <sz val="9"/>
            <color indexed="81"/>
            <rFont val="Tahoma"/>
            <family val="2"/>
          </rPr>
          <t xml:space="preserve">
Doit être =2 vu que c'est la seule version disponible maintenant (sinon le calcul d'upgrade bug)</t>
        </r>
      </text>
    </comment>
    <comment ref="E72" authorId="0" shapeId="0" xr:uid="{747C1109-CCA9-4FFE-945E-B31EA46919BE}">
      <text>
        <r>
          <rPr>
            <b/>
            <sz val="9"/>
            <color indexed="81"/>
            <rFont val="Tahoma"/>
            <family val="2"/>
          </rPr>
          <t>Tech-Eurocom:</t>
        </r>
        <r>
          <rPr>
            <sz val="9"/>
            <color indexed="81"/>
            <rFont val="Tahoma"/>
            <family val="2"/>
          </rPr>
          <t xml:space="preserve">
TPU toujours inclus</t>
        </r>
      </text>
    </comment>
    <comment ref="H72" authorId="0" shapeId="0" xr:uid="{681B540B-E857-4D48-8454-1C0082BC074C}">
      <text>
        <r>
          <rPr>
            <b/>
            <sz val="9"/>
            <color indexed="81"/>
            <rFont val="Tahoma"/>
            <family val="2"/>
          </rPr>
          <t>Tech-Eurocom:</t>
        </r>
        <r>
          <rPr>
            <sz val="9"/>
            <color indexed="81"/>
            <rFont val="Tahoma"/>
            <family val="2"/>
          </rPr>
          <t xml:space="preserve">
TPU toujours inclus</t>
        </r>
      </text>
    </comment>
    <comment ref="R75" authorId="0" shapeId="0" xr:uid="{8A215978-E965-47DF-AABB-ABE05593A4EA}">
      <text>
        <r>
          <rPr>
            <b/>
            <sz val="9"/>
            <color indexed="81"/>
            <rFont val="Tahoma"/>
            <family val="2"/>
          </rPr>
          <t>Tech-Eurocom:</t>
        </r>
        <r>
          <rPr>
            <sz val="9"/>
            <color indexed="81"/>
            <rFont val="Tahoma"/>
            <family val="2"/>
          </rPr>
          <t xml:space="preserve">
Item vendu                 Boite          Commentaires    
Si logiciels seuls            1 PACK        peu importe le nombre    
Si un STD Scanner       1 Boite STD   aucun frais de shipping supp si un ou plus logiciels, pas de frais sup si 1 ou 1 set de 3 trays    
Si un LA avec TPU       2 boites LA     aucun frais de shipping supp si un ou plus logiciels, pas de frais sup si 1 ou 1 set de 5 trays    
Si un LA sans TPU       1 boites LA     aucun frais de shipping supplementaire si un ou plus logiciels    
Si un LC Scanner         1 Boite LC      aucun frais de shipping supplementaire si un ou plus logiciels    
Si 1 Syst Opy OMount  1 Boite OMount   aucun frais de shipping supplementaire si un ou plus logiciels    
Si un PICK 12x16         1 Boite PICK 12x16   aucun frais de shipping supplementaire si un ou plus logiciels    
Si un PICK 18x24         1 Boite PICK 18x24   aucun frais de shipping supplementaire si un ou plus logiciels    
n Trays                       choisir boite selon le nombre de trays   et additionner aux items ci-haut (si n&gt;1 tray ou 1 set)    
 </t>
        </r>
      </text>
    </comment>
    <comment ref="C90" authorId="0" shapeId="0" xr:uid="{E13385DF-A681-46EC-8110-E40A78BAF124}">
      <text>
        <r>
          <rPr>
            <b/>
            <sz val="9"/>
            <color indexed="81"/>
            <rFont val="Tahoma"/>
            <family val="2"/>
          </rPr>
          <t xml:space="preserve">2026: </t>
        </r>
        <r>
          <rPr>
            <sz val="9"/>
            <color indexed="81"/>
            <rFont val="Tahoma"/>
            <family val="2"/>
          </rPr>
          <t>0.05</t>
        </r>
        <r>
          <rPr>
            <b/>
            <sz val="9"/>
            <color indexed="81"/>
            <rFont val="Tahoma"/>
            <family val="2"/>
          </rPr>
          <t xml:space="preserve">
2025: </t>
        </r>
        <r>
          <rPr>
            <sz val="9"/>
            <color indexed="81"/>
            <rFont val="Tahoma"/>
            <family val="2"/>
          </rPr>
          <t xml:space="preserve">0.00
</t>
        </r>
      </text>
    </comment>
    <comment ref="D90" authorId="0" shapeId="0" xr:uid="{B07F4110-9F43-440B-974C-64EF4EBD8D80}">
      <text>
        <r>
          <rPr>
            <b/>
            <sz val="9"/>
            <color indexed="81"/>
            <rFont val="Tahoma"/>
            <family val="2"/>
          </rPr>
          <t>ce vert =  Changements pour 2026</t>
        </r>
      </text>
    </comment>
    <comment ref="C95" authorId="0" shapeId="0" xr:uid="{6EF6EC0F-04AD-416A-BBC7-24380FC5C0D5}">
      <text>
        <r>
          <rPr>
            <b/>
            <sz val="9"/>
            <color indexed="81"/>
            <rFont val="Tahoma"/>
            <family val="2"/>
          </rPr>
          <t>2026:</t>
        </r>
        <r>
          <rPr>
            <sz val="9"/>
            <color indexed="81"/>
            <rFont val="Tahoma"/>
            <family val="2"/>
          </rPr>
          <t xml:space="preserve"> 0.05
</t>
        </r>
        <r>
          <rPr>
            <b/>
            <sz val="9"/>
            <color indexed="81"/>
            <rFont val="Tahoma"/>
            <family val="2"/>
          </rPr>
          <t>2025:</t>
        </r>
        <r>
          <rPr>
            <sz val="9"/>
            <color indexed="81"/>
            <rFont val="Tahoma"/>
            <family val="2"/>
          </rPr>
          <t xml:space="preserve"> 0.15</t>
        </r>
      </text>
    </comment>
    <comment ref="C96" authorId="0" shapeId="0" xr:uid="{A9F2BB16-0F80-4EA1-8A2A-1550C0F4186F}">
      <text>
        <r>
          <rPr>
            <b/>
            <sz val="9"/>
            <color indexed="81"/>
            <rFont val="Tahoma"/>
            <family val="2"/>
          </rPr>
          <t xml:space="preserve">2026: </t>
        </r>
        <r>
          <rPr>
            <sz val="9"/>
            <color indexed="81"/>
            <rFont val="Tahoma"/>
            <family val="2"/>
          </rPr>
          <t xml:space="preserve">0.05
</t>
        </r>
        <r>
          <rPr>
            <b/>
            <sz val="9"/>
            <color indexed="81"/>
            <rFont val="Tahoma"/>
            <family val="2"/>
          </rPr>
          <t xml:space="preserve">2025: </t>
        </r>
        <r>
          <rPr>
            <sz val="9"/>
            <color indexed="81"/>
            <rFont val="Tahoma"/>
            <family val="2"/>
          </rPr>
          <t>0.15</t>
        </r>
        <r>
          <rPr>
            <b/>
            <sz val="9"/>
            <color indexed="81"/>
            <rFont val="Tahoma"/>
            <family val="2"/>
          </rPr>
          <t xml:space="preserve">
</t>
        </r>
      </text>
    </comment>
    <comment ref="C100" authorId="0" shapeId="0" xr:uid="{5275FF72-2FA4-48D5-A3FE-B3A51B54F549}">
      <text>
        <r>
          <rPr>
            <b/>
            <sz val="9"/>
            <color indexed="81"/>
            <rFont val="Tahoma"/>
            <family val="2"/>
          </rPr>
          <t xml:space="preserve">2026: </t>
        </r>
        <r>
          <rPr>
            <sz val="9"/>
            <color indexed="81"/>
            <rFont val="Tahoma"/>
            <family val="2"/>
          </rPr>
          <t xml:space="preserve">1.10
</t>
        </r>
        <r>
          <rPr>
            <b/>
            <sz val="9"/>
            <color indexed="81"/>
            <rFont val="Tahoma"/>
            <family val="2"/>
          </rPr>
          <t xml:space="preserve">2025: </t>
        </r>
        <r>
          <rPr>
            <sz val="9"/>
            <color indexed="81"/>
            <rFont val="Tahoma"/>
            <family val="2"/>
          </rPr>
          <t>1.00</t>
        </r>
        <r>
          <rPr>
            <b/>
            <sz val="9"/>
            <color indexed="81"/>
            <rFont val="Tahoma"/>
            <family val="2"/>
          </rPr>
          <t xml:space="preserve">
</t>
        </r>
      </text>
    </comment>
    <comment ref="D103" authorId="0" shapeId="0" xr:uid="{977BDA26-BFC8-4D18-AA8E-DA270A6F89D5}">
      <text>
        <r>
          <rPr>
            <sz val="9"/>
            <color indexed="81"/>
            <rFont val="Tahoma"/>
            <family val="2"/>
          </rPr>
          <t>ce gris = formules au lieux de variable (ne pas écraser)</t>
        </r>
      </text>
    </comment>
    <comment ref="K206" authorId="0" shapeId="0" xr:uid="{68A31DE2-0D28-45DC-86EC-A843C2558339}">
      <text>
        <r>
          <rPr>
            <b/>
            <sz val="9"/>
            <color indexed="39"/>
            <rFont val="Tahoma"/>
            <family val="2"/>
          </rPr>
          <t>☑ Internet Download:</t>
        </r>
        <r>
          <rPr>
            <sz val="9"/>
            <color indexed="81"/>
            <rFont val="Tahoma"/>
            <family val="2"/>
          </rPr>
          <t xml:space="preserve">
This item has an effect only when </t>
        </r>
        <r>
          <rPr>
            <sz val="9"/>
            <color indexed="39"/>
            <rFont val="Tahoma"/>
            <family val="2"/>
          </rPr>
          <t xml:space="preserve">☑ </t>
        </r>
        <r>
          <rPr>
            <i/>
            <sz val="9"/>
            <color indexed="39"/>
            <rFont val="Tahoma"/>
            <family val="2"/>
          </rPr>
          <t>Split in 2 invoices</t>
        </r>
        <r>
          <rPr>
            <sz val="9"/>
            <color indexed="81"/>
            <rFont val="Tahoma"/>
            <family val="2"/>
          </rPr>
          <t xml:space="preserve"> </t>
        </r>
        <r>
          <rPr>
            <u/>
            <sz val="9"/>
            <color indexed="81"/>
            <rFont val="Tahoma"/>
            <family val="2"/>
          </rPr>
          <t>is</t>
        </r>
        <r>
          <rPr>
            <sz val="9"/>
            <color indexed="81"/>
            <rFont val="Tahoma"/>
            <family val="2"/>
          </rPr>
          <t xml:space="preserve"> checked. 
• If </t>
        </r>
        <r>
          <rPr>
            <sz val="9"/>
            <color indexed="39"/>
            <rFont val="Tahoma"/>
            <family val="2"/>
          </rPr>
          <t xml:space="preserve">☐ </t>
        </r>
        <r>
          <rPr>
            <i/>
            <sz val="9"/>
            <color indexed="39"/>
            <rFont val="Tahoma"/>
            <family val="2"/>
          </rPr>
          <t>Internet Download</t>
        </r>
        <r>
          <rPr>
            <sz val="9"/>
            <color indexed="81"/>
            <rFont val="Tahoma"/>
            <family val="2"/>
          </rPr>
          <t xml:space="preserve"> is </t>
        </r>
        <r>
          <rPr>
            <u/>
            <sz val="9"/>
            <color indexed="81"/>
            <rFont val="Tahoma"/>
            <family val="2"/>
          </rPr>
          <t>not</t>
        </r>
        <r>
          <rPr>
            <sz val="9"/>
            <color indexed="81"/>
            <rFont val="Tahoma"/>
            <family val="2"/>
          </rPr>
          <t xml:space="preserve"> checked, the software on invoice #1 is shipped by carrier on the USB drive/key with pdf &amp; printed manuals. The declared value for customs is the software plus USB drive values.
• If it is checked, the software must be downloaded from the Internet (we provide a download link). The software USB drive (key) is shipped with the hardware listed on the second invoice (but the software is not on the key, the customer must copy the downloaded content to the key). The declared value for customs is the hardware including USB drive values (but no software value).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Tech-Eurocom</author>
  </authors>
  <commentList>
    <comment ref="AH11" authorId="0" shapeId="0" xr:uid="{A3647540-5A0A-48B4-9464-E338B1718636}">
      <text>
        <r>
          <rPr>
            <b/>
            <sz val="9"/>
            <color indexed="81"/>
            <rFont val="Tahoma"/>
            <family val="2"/>
          </rPr>
          <t>Augmenté de 34$ pour 2026</t>
        </r>
      </text>
    </comment>
  </commentList>
</comments>
</file>

<file path=xl/sharedStrings.xml><?xml version="1.0" encoding="utf-8"?>
<sst xmlns="http://schemas.openxmlformats.org/spreadsheetml/2006/main" count="2787" uniqueCount="925">
  <si>
    <t>Description</t>
  </si>
  <si>
    <t>WinDENDRO</t>
  </si>
  <si>
    <t>CAD</t>
  </si>
  <si>
    <t>USD</t>
  </si>
  <si>
    <t>€</t>
  </si>
  <si>
    <t>WinFOLIA</t>
  </si>
  <si>
    <t>Canada</t>
  </si>
  <si>
    <t>Column2</t>
  </si>
  <si>
    <t>WinCELL</t>
  </si>
  <si>
    <t>WinRHIZO</t>
  </si>
  <si>
    <t>WinSEEDLE</t>
  </si>
  <si>
    <t>WinCAM</t>
  </si>
  <si>
    <t>WithAndSansScan</t>
  </si>
  <si>
    <t>Harmonized Code</t>
  </si>
  <si>
    <t>Software</t>
  </si>
  <si>
    <t xml:space="preserve">                   *PICK = Portable Imaging &amp; Calibration Kit</t>
  </si>
  <si>
    <t>Date</t>
  </si>
  <si>
    <t>Incoterms</t>
  </si>
  <si>
    <t>TOTAL</t>
  </si>
  <si>
    <t>DESCRIPTION</t>
  </si>
  <si>
    <t>RHIZO_N_Software</t>
  </si>
  <si>
    <t>RHIZO_OptionXL</t>
  </si>
  <si>
    <t>RHIZO_N_System</t>
  </si>
  <si>
    <t>RHIZO_N_UpgradeUpdate</t>
  </si>
  <si>
    <t>Variable / Product ID</t>
  </si>
  <si>
    <t>Real Quantity</t>
  </si>
  <si>
    <t>RHIZO_Option1</t>
  </si>
  <si>
    <t>RHIZO_Option2</t>
  </si>
  <si>
    <t>RHIZO_Option3</t>
  </si>
  <si>
    <t>RHIZO_Option4</t>
  </si>
  <si>
    <t>Array formula description</t>
  </si>
  <si>
    <t>Array formula Qty</t>
  </si>
  <si>
    <t>ShowDesc?</t>
  </si>
  <si>
    <t>Unit Price</t>
  </si>
  <si>
    <t>Extended price</t>
  </si>
  <si>
    <t>ITEM #</t>
  </si>
  <si>
    <t>Array formula Unit Price</t>
  </si>
  <si>
    <t>Array formula Ext Price</t>
  </si>
  <si>
    <t>QC</t>
  </si>
  <si>
    <t>AB</t>
  </si>
  <si>
    <t>BC</t>
  </si>
  <si>
    <t>MB</t>
  </si>
  <si>
    <t>NB</t>
  </si>
  <si>
    <t>NL</t>
  </si>
  <si>
    <t>NT</t>
  </si>
  <si>
    <t>NS</t>
  </si>
  <si>
    <t>NU</t>
  </si>
  <si>
    <t>ON</t>
  </si>
  <si>
    <t>PE</t>
  </si>
  <si>
    <t>SK</t>
  </si>
  <si>
    <t>YK</t>
  </si>
  <si>
    <t>PQ</t>
  </si>
  <si>
    <t>DENDRO_N_System</t>
  </si>
  <si>
    <t>DENDRO_N_Software</t>
  </si>
  <si>
    <t>DENDRO_OptionXL</t>
  </si>
  <si>
    <t>DENDRO_N_UpgradeUpdate</t>
  </si>
  <si>
    <t>DENDRO_Option1</t>
  </si>
  <si>
    <t>DENDRO_Option2</t>
  </si>
  <si>
    <t>DENDRO_Option3</t>
  </si>
  <si>
    <t>DENDRO_Option4</t>
  </si>
  <si>
    <t>CELL_OptionXL</t>
  </si>
  <si>
    <t>CELL_N_Software</t>
  </si>
  <si>
    <t>CELL_N_UpgradeUpdate</t>
  </si>
  <si>
    <t>RHIZOTron_OptionXL</t>
  </si>
  <si>
    <t>RHIZOTron_N_UpgradeUpdate</t>
  </si>
  <si>
    <t>FOLIA_N_System</t>
  </si>
  <si>
    <t>FOLIA_N_Software</t>
  </si>
  <si>
    <t>FOLIA_OptionXL</t>
  </si>
  <si>
    <t>FOLIA_N_UpgradeUpdate</t>
  </si>
  <si>
    <t>FOLIA_Option1</t>
  </si>
  <si>
    <t>FOLIA_Option2</t>
  </si>
  <si>
    <t>FOLIA_Option3</t>
  </si>
  <si>
    <t>SEEDLE_N_System</t>
  </si>
  <si>
    <t>SEEDLE_N_Software</t>
  </si>
  <si>
    <t>SEEDLE_OptionXL</t>
  </si>
  <si>
    <t>SEEDLE_N_UpgradeUpdate</t>
  </si>
  <si>
    <t>SEEDLE_Option1</t>
  </si>
  <si>
    <t>SEEDLE_Option2</t>
  </si>
  <si>
    <t>SEEDLE_Option3</t>
  </si>
  <si>
    <t>SEEDLE_Option4</t>
  </si>
  <si>
    <t>CAM_N_System</t>
  </si>
  <si>
    <t>CAM_N_Software</t>
  </si>
  <si>
    <t>CAM_N_UpgradeUpdate</t>
  </si>
  <si>
    <t>CAM_Option1</t>
  </si>
  <si>
    <t>CAM_Option2</t>
  </si>
  <si>
    <t>CAM_Option3</t>
  </si>
  <si>
    <t>SCANOPY_N_System</t>
  </si>
  <si>
    <t>SCANOPY_N_Software</t>
  </si>
  <si>
    <t>SCANOPY_OptionXL</t>
  </si>
  <si>
    <t>SCANOPY_N_UpgradeUpdate</t>
  </si>
  <si>
    <t>SCANOPY_Option1</t>
  </si>
  <si>
    <t>DENDRO Scanner</t>
  </si>
  <si>
    <t>RHIZO Scanner</t>
  </si>
  <si>
    <t>RHIZO scanner TPU for LA</t>
  </si>
  <si>
    <t>FOLIA scanner</t>
  </si>
  <si>
    <t>FOLIA scanner TPU for LA</t>
  </si>
  <si>
    <t>FOLIA System1</t>
  </si>
  <si>
    <t>SEEDLE scanner</t>
  </si>
  <si>
    <t>SEEDLE scanner TPU for LA</t>
  </si>
  <si>
    <t>CAM scanner TPU for LA</t>
  </si>
  <si>
    <t>CAM System1</t>
  </si>
  <si>
    <t>SCANOPY System1</t>
  </si>
  <si>
    <t>SCANOPY System2</t>
  </si>
  <si>
    <t>SCANOPY System3</t>
  </si>
  <si>
    <t>SCANOPY System4</t>
  </si>
  <si>
    <t>Array Formula Code</t>
  </si>
  <si>
    <t>Rank</t>
  </si>
  <si>
    <t>Rabais</t>
  </si>
  <si>
    <t>Skip</t>
  </si>
  <si>
    <t>WinRHIZO Tron</t>
  </si>
  <si>
    <t>XLSoftware</t>
  </si>
  <si>
    <t>XLName</t>
  </si>
  <si>
    <t>Dist price</t>
  </si>
  <si>
    <t>RabaisInterProduit1</t>
  </si>
  <si>
    <t>RabaisInterProduit2</t>
  </si>
  <si>
    <t>RabaisInterProduit3</t>
  </si>
  <si>
    <t>RabaisInterProduit4</t>
  </si>
  <si>
    <t>RabaisInterProduit5</t>
  </si>
  <si>
    <t>RabaisInterProduit6</t>
  </si>
  <si>
    <t>RabaisInterProduit7</t>
  </si>
  <si>
    <t>Rabais inter produits</t>
  </si>
  <si>
    <t>Item#</t>
  </si>
  <si>
    <t>Qty</t>
  </si>
  <si>
    <t>$unit</t>
  </si>
  <si>
    <t>$extended</t>
  </si>
  <si>
    <t>ArrayF DetailedPrice</t>
  </si>
  <si>
    <t xml:space="preserve"> </t>
  </si>
  <si>
    <t>DENDRO scanner TPU for LA</t>
  </si>
  <si>
    <t>Detailed Ext Price</t>
  </si>
  <si>
    <t>XL+Win Price+Update/upgrade</t>
  </si>
  <si>
    <t>license</t>
  </si>
  <si>
    <t>update</t>
  </si>
  <si>
    <t>upgrade</t>
  </si>
  <si>
    <t>USA</t>
  </si>
  <si>
    <t>Variables Prix scanners ci-dessous</t>
  </si>
  <si>
    <t>From: Regent Instruments Inc.</t>
  </si>
  <si>
    <t>Ship to:</t>
  </si>
  <si>
    <t>7140 Wilfrid-Hamel Boulevard, Quebec, QC G2G 1B5 CANADA</t>
  </si>
  <si>
    <t>Contact:</t>
  </si>
  <si>
    <t>Tel:</t>
  </si>
  <si>
    <t>P.O. / Reference #:</t>
  </si>
  <si>
    <t>Nom du client</t>
  </si>
  <si>
    <t>Commentaires</t>
  </si>
  <si>
    <t>ACCESSOIRES</t>
  </si>
  <si>
    <t>Incoterm</t>
  </si>
  <si>
    <t>Colis assuré</t>
  </si>
  <si>
    <t>Valeur assurée</t>
  </si>
  <si>
    <t>S/N</t>
  </si>
  <si>
    <t>SCANNER(S) &amp; CAMERA(S)</t>
  </si>
  <si>
    <t>Boîte</t>
  </si>
  <si>
    <t>Enveloppe</t>
  </si>
  <si>
    <t>DENDRO_Option5</t>
  </si>
  <si>
    <t>☐ Win Man</t>
  </si>
  <si>
    <t>☐ Tête barrée</t>
  </si>
  <si>
    <t>#Facture</t>
  </si>
  <si>
    <t>Kazakhstan</t>
  </si>
  <si>
    <t>•</t>
  </si>
  <si>
    <t>Home_En :</t>
  </si>
  <si>
    <t>Home_Fr :</t>
  </si>
  <si>
    <t>Home Title En</t>
  </si>
  <si>
    <t>Home Title FR</t>
  </si>
  <si>
    <t>Box __ of __</t>
  </si>
  <si>
    <t>incl.</t>
  </si>
  <si>
    <t>Paiement dû</t>
  </si>
  <si>
    <t xml:space="preserve">WinRHIZO™ Basic </t>
  </si>
  <si>
    <t xml:space="preserve">WinRHIZO™ Reg </t>
  </si>
  <si>
    <t xml:space="preserve">WinRHIZO™ Pro </t>
  </si>
  <si>
    <t xml:space="preserve">WinRHIZO™ Arabidopsis </t>
  </si>
  <si>
    <t>WinRHIZO™</t>
  </si>
  <si>
    <t>WinSEEDLE™</t>
  </si>
  <si>
    <t>WinFOLIA™</t>
  </si>
  <si>
    <t>WinCAM™</t>
  </si>
  <si>
    <t>WinDENDRO™</t>
  </si>
  <si>
    <t>WinCELL™</t>
  </si>
  <si>
    <t>WinSCANOPY™</t>
  </si>
  <si>
    <t>WinRHIZO Tron™</t>
  </si>
  <si>
    <t>Quote #</t>
  </si>
  <si>
    <t xml:space="preserve">WinDENDRO™ Basic </t>
  </si>
  <si>
    <t xml:space="preserve">WinDENDRO™ Reg </t>
  </si>
  <si>
    <t xml:space="preserve">WinDENDRO™ Density </t>
  </si>
  <si>
    <t xml:space="preserve">WinCELL™ Reg </t>
  </si>
  <si>
    <t xml:space="preserve">WinCELL™ Pro </t>
  </si>
  <si>
    <t xml:space="preserve">WinRHIZO Tron™ Reg </t>
  </si>
  <si>
    <t xml:space="preserve">WinRHIZO Tron™ MF </t>
  </si>
  <si>
    <t xml:space="preserve">WinFOLIA™ Basic </t>
  </si>
  <si>
    <t xml:space="preserve">WinFOLIA™ Reg </t>
  </si>
  <si>
    <t xml:space="preserve">WinFOLIA™ Pro </t>
  </si>
  <si>
    <t xml:space="preserve">WinSEEDLE™ Reg </t>
  </si>
  <si>
    <t xml:space="preserve">WinSEEDLE™ Pro </t>
  </si>
  <si>
    <t xml:space="preserve">WinSCANOPY™ Mini </t>
  </si>
  <si>
    <t xml:space="preserve">WinSCANOPY™ Reg </t>
  </si>
  <si>
    <t xml:space="preserve">WinSCANOPY™ Pro </t>
  </si>
  <si>
    <t>WinDENDRO™ Basic 32&amp;64bit</t>
  </si>
  <si>
    <t>WinDENDRO™ Reg 32&amp;64bit</t>
  </si>
  <si>
    <t>WinDENDRO™ Density 32&amp;64bit</t>
  </si>
  <si>
    <t>WinCELL™ Pro 32&amp;64bit</t>
  </si>
  <si>
    <t>WinRHIZO™ Basic 32&amp;64bit</t>
  </si>
  <si>
    <t>WinRHIZO™ Reg 32&amp;64bit</t>
  </si>
  <si>
    <t>WinRHIZO™ Pro 32&amp;64bit</t>
  </si>
  <si>
    <t>WinRHIZO™ Arabidopsis 32&amp;64bit</t>
  </si>
  <si>
    <t>WinRHIZO Tron™ Reg 32&amp;64bit</t>
  </si>
  <si>
    <t>WinRHIZO Tron™ MF 32&amp;64bit</t>
  </si>
  <si>
    <t>WinFOLIA™ Basic 32&amp;64bit</t>
  </si>
  <si>
    <t>WinFOLIA™ Reg 32&amp;64bit</t>
  </si>
  <si>
    <t>WinFOLIA™ Pro 32&amp;64bit</t>
  </si>
  <si>
    <t>WinSEEDLE™ Reg 32&amp;64bit</t>
  </si>
  <si>
    <t>WinSEEDLE™ Pro 32&amp;64bit</t>
  </si>
  <si>
    <t>WinSCANOPY™ Mini 32&amp;64bit</t>
  </si>
  <si>
    <t>WinSCANOPY™ Reg 32&amp;64bit</t>
  </si>
  <si>
    <t>WinSCANOPY™ Pro 32&amp;64bit</t>
  </si>
  <si>
    <t xml:space="preserve">T: (418) 653-1347 </t>
  </si>
  <si>
    <t>FOLIA_Option4</t>
  </si>
  <si>
    <t>WinCAM™ NDVI Pro 32&amp;64bit</t>
  </si>
  <si>
    <t xml:space="preserve">WinCAM™ NDVI Pro </t>
  </si>
  <si>
    <t>CAM_Option4</t>
  </si>
  <si>
    <t>STD4800</t>
  </si>
  <si>
    <t>LA2400</t>
  </si>
  <si>
    <t>LC4800P</t>
  </si>
  <si>
    <t>RHIZO_Option5</t>
  </si>
  <si>
    <t>SEEDLE_Option5</t>
  </si>
  <si>
    <t>LA</t>
  </si>
  <si>
    <t>RHIZO_Option6</t>
  </si>
  <si>
    <t>RHIZO_Option7</t>
  </si>
  <si>
    <t>RHIZO_Option8</t>
  </si>
  <si>
    <t>RHIZO_Option9</t>
  </si>
  <si>
    <t>RHIZO_Option10</t>
  </si>
  <si>
    <t>RHIZO_Option11</t>
  </si>
  <si>
    <t>RHIZO_Option12</t>
  </si>
  <si>
    <t>SEEDLE_Option6</t>
  </si>
  <si>
    <t>SEEDLE_Option7</t>
  </si>
  <si>
    <t>SEEDLE_Option8</t>
  </si>
  <si>
    <t>SEEDLE_Option9</t>
  </si>
  <si>
    <t>SEEDLE_Option10</t>
  </si>
  <si>
    <t>SEEDLE_Option11</t>
  </si>
  <si>
    <t>SEEDLE_Option12</t>
  </si>
  <si>
    <t>31x25x13</t>
  </si>
  <si>
    <t>31x25x11</t>
  </si>
  <si>
    <t>20x15x7</t>
  </si>
  <si>
    <t>30x21x11</t>
  </si>
  <si>
    <t>Tray total, not used here</t>
  </si>
  <si>
    <t>16x14x10</t>
  </si>
  <si>
    <t>20x16x4</t>
  </si>
  <si>
    <t>19.25x14.5x4.33</t>
  </si>
  <si>
    <t>NO SCANNER</t>
  </si>
  <si>
    <t>Column1</t>
  </si>
  <si>
    <t>POIDS LC NO SCAN</t>
  </si>
  <si>
    <t>☐ Manuel &amp; Logiciel manufacturier</t>
  </si>
  <si>
    <t>☐ Slides holders</t>
  </si>
  <si>
    <t>Home_En (Pas Same Client) :</t>
  </si>
  <si>
    <t>Home_Fr (Pas Same Client) :</t>
  </si>
  <si>
    <t xml:space="preserve">     Clé S/N</t>
  </si>
  <si>
    <t>Total tray in Rhizo+Seedle sheets</t>
  </si>
  <si>
    <t>Trays totaux une fois imbriqués</t>
  </si>
  <si>
    <t>Dominant scanner type</t>
  </si>
  <si>
    <t>Hardware</t>
  </si>
  <si>
    <t>ShowSoft</t>
  </si>
  <si>
    <t>ShowHard</t>
  </si>
  <si>
    <t>☐ COMPLET</t>
  </si>
  <si>
    <t>Clé</t>
  </si>
  <si>
    <t>Sac</t>
  </si>
  <si>
    <t>Access</t>
  </si>
  <si>
    <t>Access2</t>
  </si>
  <si>
    <t>Access3</t>
  </si>
  <si>
    <t>Access4</t>
  </si>
  <si>
    <t>Access5</t>
  </si>
  <si>
    <t>☐ 12x16" PICK:</t>
  </si>
  <si>
    <t xml:space="preserve">☐ 18x24" PICK:        </t>
  </si>
  <si>
    <t>☐ Core Posi LA (Frame+Block)</t>
  </si>
  <si>
    <t>Posi</t>
  </si>
  <si>
    <t>☐ 110V</t>
  </si>
  <si>
    <t>220V : ☐ C</t>
  </si>
  <si>
    <t>☐ G</t>
  </si>
  <si>
    <t>☐ I</t>
  </si>
  <si>
    <t>☐ E</t>
  </si>
  <si>
    <t>☐ License</t>
  </si>
  <si>
    <t>☐ QuickSetUp</t>
  </si>
  <si>
    <t>☐ Epson Fond Blanc</t>
  </si>
  <si>
    <t>☐ 22 cm Core Holder</t>
  </si>
  <si>
    <t xml:space="preserve">   ☐ 36 cm Core Holder</t>
  </si>
  <si>
    <t>☐ Core Posi STD (Block)</t>
  </si>
  <si>
    <t>☐ Quick SetUp</t>
  </si>
  <si>
    <t>☐ Blue Reflectance Target        S/N</t>
  </si>
  <si>
    <t>Destination --&gt;</t>
  </si>
  <si>
    <t>Germany</t>
  </si>
  <si>
    <t>Turkey</t>
  </si>
  <si>
    <t>Australia</t>
  </si>
  <si>
    <t>Chile</t>
  </si>
  <si>
    <t>India</t>
  </si>
  <si>
    <t>Malaysia</t>
  </si>
  <si>
    <t>Vancouver</t>
  </si>
  <si>
    <t>Product</t>
  </si>
  <si>
    <t>* = Shipped by Ground service (not air)</t>
  </si>
  <si>
    <r>
      <rPr>
        <b/>
        <sz val="12"/>
        <color theme="9"/>
        <rFont val="Calibri (Body)"/>
      </rPr>
      <t>**</t>
    </r>
    <r>
      <rPr>
        <b/>
        <sz val="12"/>
        <color theme="1"/>
        <rFont val="Calibri"/>
        <family val="2"/>
        <scheme val="minor"/>
      </rPr>
      <t xml:space="preserve"> </t>
    </r>
    <r>
      <rPr>
        <b/>
        <sz val="12"/>
        <color theme="9"/>
        <rFont val="Calibri (Body)"/>
      </rPr>
      <t>SLS = Special Lighting System required to scan roots, seedles or xray films. Optional for leaves.</t>
    </r>
  </si>
  <si>
    <t>CANADIAN DOLLARS</t>
  </si>
  <si>
    <t>1 to 4 Software alone</t>
  </si>
  <si>
    <r>
      <t xml:space="preserve">LA Scanner </t>
    </r>
    <r>
      <rPr>
        <b/>
        <sz val="12"/>
        <color theme="9"/>
        <rFont val="Calibri (Body)"/>
      </rPr>
      <t>with SLS**</t>
    </r>
    <r>
      <rPr>
        <sz val="12"/>
        <color theme="1"/>
        <rFont val="Calibri (Body)"/>
      </rPr>
      <t xml:space="preserve"> +</t>
    </r>
    <r>
      <rPr>
        <b/>
        <sz val="12"/>
        <color theme="9"/>
        <rFont val="Calibri (Body)"/>
      </rPr>
      <t xml:space="preserve"> </t>
    </r>
    <r>
      <rPr>
        <sz val="12"/>
        <color theme="1"/>
        <rFont val="Calibri"/>
        <family val="2"/>
        <scheme val="minor"/>
      </rPr>
      <t>1 to 4 Software</t>
    </r>
  </si>
  <si>
    <r>
      <t xml:space="preserve">LA Scanner </t>
    </r>
    <r>
      <rPr>
        <b/>
        <sz val="12"/>
        <color theme="9"/>
        <rFont val="Calibri (Body)"/>
      </rPr>
      <t>without SLS**</t>
    </r>
    <r>
      <rPr>
        <sz val="12"/>
        <color theme="1"/>
        <rFont val="Calibri"/>
        <family val="2"/>
        <scheme val="minor"/>
      </rPr>
      <t xml:space="preserve"> &amp; 1 to 4 Software</t>
    </r>
  </si>
  <si>
    <t>WinSCANOPY System + 1 to 4 Software</t>
  </si>
  <si>
    <t>PICK 18 x 24" + 1 to 4 Software</t>
  </si>
  <si>
    <t>☐ Images Demo</t>
  </si>
  <si>
    <t>☐ White Press</t>
  </si>
  <si>
    <t>☐ Blue Press</t>
  </si>
  <si>
    <t>☐ Sticker “Fragile”</t>
  </si>
  <si>
    <t>☐ Étiquette adresse enveloppe intérieure</t>
  </si>
  <si>
    <t>1 Tray or Set of 3 nested trays for STD Scanner</t>
  </si>
  <si>
    <t>3 trays for STD Scanner (not nested or embeeded)</t>
  </si>
  <si>
    <t>1 Tray or Set of 5 nested trays for LA Scanner</t>
  </si>
  <si>
    <t>5 trays for LA Scanner (not nested or embeeded)</t>
  </si>
  <si>
    <t>LC Scanner or PICK 12 x 16" + 1 to 4 Software</t>
  </si>
  <si>
    <t>Carrier/Service</t>
  </si>
  <si>
    <t>Japan</t>
  </si>
  <si>
    <t>TPU  S/N</t>
  </si>
  <si>
    <t>☐ Calib. Targets</t>
  </si>
  <si>
    <t>GoPro 12</t>
  </si>
  <si>
    <t>Lentille</t>
  </si>
  <si>
    <t>UnSplit</t>
  </si>
  <si>
    <t>DescHW</t>
  </si>
  <si>
    <t>CodeH HW</t>
  </si>
  <si>
    <t>DetailedPriceHW</t>
  </si>
  <si>
    <t>QtyHW</t>
  </si>
  <si>
    <t>CAM Scanner</t>
  </si>
  <si>
    <t>DENDRO_USBKey</t>
  </si>
  <si>
    <t>CELL_USBKey</t>
  </si>
  <si>
    <t>FOLIA_USBKey</t>
  </si>
  <si>
    <t>SEEDLE_USBKey</t>
  </si>
  <si>
    <t>CAM_USBKey</t>
  </si>
  <si>
    <t>SCANOPY_USBKey</t>
  </si>
  <si>
    <t>RHIZO_USBKey</t>
  </si>
  <si>
    <t>PACK</t>
  </si>
  <si>
    <t>DENDRO_DownloadOrShip</t>
  </si>
  <si>
    <t>FOLIA_DownloadOrShip</t>
  </si>
  <si>
    <t>CELL_DownloadOrShip</t>
  </si>
  <si>
    <t>RHIZO_DownloadOrShip</t>
  </si>
  <si>
    <t>RHIZOTron_DownloadOrShip</t>
  </si>
  <si>
    <t>SEEDLE_DownloadOrShip</t>
  </si>
  <si>
    <t>CAM_DownloadOrShip</t>
  </si>
  <si>
    <t>SCANOPY_DownloadOrShip</t>
  </si>
  <si>
    <t>RHIZO Tron_USBKey</t>
  </si>
  <si>
    <t>RHIZO Tron_N_Software</t>
  </si>
  <si>
    <t>RHIZO System Posi</t>
  </si>
  <si>
    <t>SEEDLE System Posi</t>
  </si>
  <si>
    <t>sum 2p quote</t>
  </si>
  <si>
    <t>DENDRO_OldGenCal</t>
  </si>
  <si>
    <t>RHIZO_OldGenCal</t>
  </si>
  <si>
    <t>FOLIA_OldGenCal</t>
  </si>
  <si>
    <t>SEEDLE_OldGenCal</t>
  </si>
  <si>
    <t>CAM_OldGenCal</t>
  </si>
  <si>
    <t>DENDRO System Calib Manual</t>
  </si>
  <si>
    <t>RHIZO System Calib Manual</t>
  </si>
  <si>
    <t>FOLIA System Calib Manual</t>
  </si>
  <si>
    <t>SEEDLE System Calib Manual</t>
  </si>
  <si>
    <t>CAM System Calib Manual</t>
  </si>
  <si>
    <t>Commercial</t>
  </si>
  <si>
    <t>Multi système</t>
  </si>
  <si>
    <t>Rhizo</t>
  </si>
  <si>
    <t>RhizoTron</t>
  </si>
  <si>
    <t>Seedle</t>
  </si>
  <si>
    <t>Folia</t>
  </si>
  <si>
    <t>Cam</t>
  </si>
  <si>
    <t>Dendro</t>
  </si>
  <si>
    <t>Cell</t>
  </si>
  <si>
    <t>Scanopy</t>
  </si>
  <si>
    <t>WinRHIZO Tron™ Basic 32&amp;64bit</t>
  </si>
  <si>
    <t>WinSEEDLE™ Basic 32&amp;64bit</t>
  </si>
  <si>
    <t>WinCAM™ NDVI Basic 32&amp;64bit</t>
  </si>
  <si>
    <t>WinCAM™ NDVI Reg 32&amp;64bit</t>
  </si>
  <si>
    <t>WinCELL™ Basic 32&amp;64bit</t>
  </si>
  <si>
    <t>WinCELL™ Reg 32&amp;64bit</t>
  </si>
  <si>
    <t xml:space="preserve">WinCELL™ Basic </t>
  </si>
  <si>
    <t xml:space="preserve">WinSEEDLE™ Basic </t>
  </si>
  <si>
    <t xml:space="preserve">WinRHIZO Tron™ Basic </t>
  </si>
  <si>
    <t xml:space="preserve">WinCAM™ NDVI Reg </t>
  </si>
  <si>
    <t xml:space="preserve">WinCAM™ NDVI Basic </t>
  </si>
  <si>
    <t>Tableau pour Commercial Invoice</t>
  </si>
  <si>
    <t>Date Picker</t>
  </si>
  <si>
    <t>1</t>
  </si>
  <si>
    <t>2</t>
  </si>
  <si>
    <t>3</t>
  </si>
  <si>
    <t>4</t>
  </si>
  <si>
    <t>5</t>
  </si>
  <si>
    <t>6</t>
  </si>
  <si>
    <t>7</t>
  </si>
  <si>
    <t>8</t>
  </si>
  <si>
    <t>9</t>
  </si>
  <si>
    <t>10</t>
  </si>
  <si>
    <t>11</t>
  </si>
  <si>
    <t>12</t>
  </si>
  <si>
    <t>Mois</t>
  </si>
  <si>
    <t>Jan</t>
  </si>
  <si>
    <t>Fév</t>
  </si>
  <si>
    <t>Mar</t>
  </si>
  <si>
    <t>Avr</t>
  </si>
  <si>
    <t>Mai</t>
  </si>
  <si>
    <t>Jun</t>
  </si>
  <si>
    <t>Jui</t>
  </si>
  <si>
    <t>Août</t>
  </si>
  <si>
    <t>Sept</t>
  </si>
  <si>
    <t>Oct</t>
  </si>
  <si>
    <t>Nov</t>
  </si>
  <si>
    <t>Déc</t>
  </si>
  <si>
    <t>DatePick Day</t>
  </si>
  <si>
    <t>DatePick Month</t>
  </si>
  <si>
    <t>Année</t>
  </si>
  <si>
    <t>DatePick Year</t>
  </si>
  <si>
    <t>DatePick Year Index</t>
  </si>
  <si>
    <t>Romania</t>
  </si>
  <si>
    <t>WarningDownload1</t>
  </si>
  <si>
    <t>WarningDownload2</t>
  </si>
  <si>
    <t>Description_Unsplit</t>
  </si>
  <si>
    <t>Harmonized_Code_Unsplit</t>
  </si>
  <si>
    <t>DetailedPrice_Unsplit</t>
  </si>
  <si>
    <t>RealQty_Unsplit</t>
  </si>
  <si>
    <t>Unit Price_Unsplit</t>
  </si>
  <si>
    <t>Ext Price_Unsplit</t>
  </si>
  <si>
    <t>RowNumOfShownItems_Unsplit</t>
  </si>
  <si>
    <t>RowNumOfShownItems_Hard</t>
  </si>
  <si>
    <t>Description_SOFT</t>
  </si>
  <si>
    <t>Harmonized_Code_SOFT</t>
  </si>
  <si>
    <t>DetailedPrice_SOFT</t>
  </si>
  <si>
    <t>RealQty_SOFT</t>
  </si>
  <si>
    <t>RowNumOfShownItems_SOFT</t>
  </si>
  <si>
    <t>Unit_Price_SOFT</t>
  </si>
  <si>
    <t>Ext_Price_SOFT</t>
  </si>
  <si>
    <t>RowNumOfShownItems_COM</t>
  </si>
  <si>
    <t>iRow+2</t>
  </si>
  <si>
    <t>Switzerland</t>
  </si>
  <si>
    <t>Poland</t>
  </si>
  <si>
    <t>Czechia</t>
  </si>
  <si>
    <t>Slovakia</t>
  </si>
  <si>
    <t>Hungary</t>
  </si>
  <si>
    <t>Austria</t>
  </si>
  <si>
    <t>Mexico</t>
  </si>
  <si>
    <t>France</t>
  </si>
  <si>
    <t>UK</t>
  </si>
  <si>
    <t>Ireland</t>
  </si>
  <si>
    <t>Netherlands</t>
  </si>
  <si>
    <t>Belgium</t>
  </si>
  <si>
    <t>Spain</t>
  </si>
  <si>
    <t>Portugal</t>
  </si>
  <si>
    <t>Italy</t>
  </si>
  <si>
    <t>Greece</t>
  </si>
  <si>
    <t>Sweden</t>
  </si>
  <si>
    <t>Norway</t>
  </si>
  <si>
    <t>Finland</t>
  </si>
  <si>
    <t>Denmark</t>
  </si>
  <si>
    <t>Bulgaria</t>
  </si>
  <si>
    <t>Croatia</t>
  </si>
  <si>
    <t>Thailand</t>
  </si>
  <si>
    <t>Singapor</t>
  </si>
  <si>
    <t>Taiwan</t>
  </si>
  <si>
    <t>China</t>
  </si>
  <si>
    <t>Indonesia</t>
  </si>
  <si>
    <t>Philippines</t>
  </si>
  <si>
    <t>New Zealand</t>
  </si>
  <si>
    <t>Argentina</t>
  </si>
  <si>
    <t>Peru</t>
  </si>
  <si>
    <t>Brazil</t>
  </si>
  <si>
    <t>Costa Rica</t>
  </si>
  <si>
    <t>Colombia</t>
  </si>
  <si>
    <t>Iceland</t>
  </si>
  <si>
    <t>Pakistan</t>
  </si>
  <si>
    <t>Bengladesh</t>
  </si>
  <si>
    <t>Hong Kong</t>
  </si>
  <si>
    <t>Other (Not listed here)</t>
  </si>
  <si>
    <t xml:space="preserve">       </t>
  </si>
  <si>
    <t>Country_Index</t>
  </si>
  <si>
    <t>Country_Names</t>
  </si>
  <si>
    <t xml:space="preserve">Taux de + </t>
  </si>
  <si>
    <t>(cost+10% calcule par Diane )*1.10 du montant le plus eleve dans le pays</t>
  </si>
  <si>
    <t>AMERICA</t>
  </si>
  <si>
    <t>EUROPE</t>
  </si>
  <si>
    <t>OCEANIA ASIA</t>
  </si>
  <si>
    <t>AUTRES</t>
  </si>
  <si>
    <t>Western Europe</t>
  </si>
  <si>
    <t>Southern Europe</t>
  </si>
  <si>
    <t>Northern Europe</t>
  </si>
  <si>
    <t>Europe</t>
  </si>
  <si>
    <t>Germany, Austria, Switzerland, Poland, Czechia (Slovakia), Hungary</t>
  </si>
  <si>
    <t>France, UK, Ireland, Netherlands, Belgium</t>
  </si>
  <si>
    <t>Spain, Portugal, Italy, Greece</t>
  </si>
  <si>
    <t>Sweden, Norway, Finland, Denmark</t>
  </si>
  <si>
    <r>
      <t xml:space="preserve">Bulgaria, </t>
    </r>
    <r>
      <rPr>
        <sz val="10"/>
        <color theme="1"/>
        <rFont val="Calibri (Body)"/>
      </rPr>
      <t>Romania, Croatia</t>
    </r>
    <r>
      <rPr>
        <sz val="10"/>
        <color theme="1"/>
        <rFont val="Calibri"/>
        <family val="2"/>
        <scheme val="minor"/>
      </rPr>
      <t>, Turkey (sauf Greece)</t>
    </r>
  </si>
  <si>
    <t>Thailand, Singapor, South Korea, Taiwan, HongKong (China)</t>
  </si>
  <si>
    <t>China (Shangai, Beijin)</t>
  </si>
  <si>
    <t>Malaysia, Indonesia, Philippines,</t>
  </si>
  <si>
    <t>Australia, New Zealand</t>
  </si>
  <si>
    <t>Chile, Argentina, Peru, Brazil, Costa Rica, Colombia</t>
  </si>
  <si>
    <t>Iceland, Pakistan, Bengladesh</t>
  </si>
  <si>
    <t>Ruber</t>
  </si>
  <si>
    <t>$ to Sip STD Scanner Cette grille cost (cost+10%)*Taux de + ci-haut</t>
  </si>
  <si>
    <t>Item vendu</t>
  </si>
  <si>
    <t>Boite</t>
  </si>
  <si>
    <t xml:space="preserve">Si logiciels seuls </t>
  </si>
  <si>
    <t>1 PACK</t>
  </si>
  <si>
    <t>peu importe le nombre</t>
  </si>
  <si>
    <t>Si un STD Scanner</t>
  </si>
  <si>
    <t>1 Boite STD</t>
  </si>
  <si>
    <t>Si un LA avec TPU</t>
  </si>
  <si>
    <t>2 boites LA</t>
  </si>
  <si>
    <t>Si un LA sans TPU</t>
  </si>
  <si>
    <t>1 boites LA</t>
  </si>
  <si>
    <t>aucun frais de shipping supplementaire si un ou plus logiciels</t>
  </si>
  <si>
    <t>Si un LC Scanner</t>
  </si>
  <si>
    <t>1 Boite LC</t>
  </si>
  <si>
    <t>Si 1 Syst Opy OMount</t>
  </si>
  <si>
    <t>1 Boite OMount</t>
  </si>
  <si>
    <t>Si un PICK 12x16</t>
  </si>
  <si>
    <t>1 Boite PICK 12x16</t>
  </si>
  <si>
    <t>Si un PICK 18x24</t>
  </si>
  <si>
    <t>1 Boite PICK 18x24</t>
  </si>
  <si>
    <t>n Trays</t>
  </si>
  <si>
    <t>choisir boite selon le nombre de trays</t>
  </si>
  <si>
    <t>et additionner aux items ci-haut (si n&gt;1 tray ou 1 set)</t>
  </si>
  <si>
    <t>Ext_PriceHW</t>
  </si>
  <si>
    <t>Unit_PriceHW</t>
  </si>
  <si>
    <t>Extended_price</t>
  </si>
  <si>
    <t>Unit_Price</t>
  </si>
  <si>
    <t>Detailed_Ext_Price</t>
  </si>
  <si>
    <t>Harmonized_Code</t>
  </si>
  <si>
    <t>Real_Quantity</t>
  </si>
  <si>
    <t>AFRICA</t>
  </si>
  <si>
    <t>Index</t>
  </si>
  <si>
    <t>Morocco</t>
  </si>
  <si>
    <t>Kenya</t>
  </si>
  <si>
    <t>Ethiopia</t>
  </si>
  <si>
    <t>South Africa</t>
  </si>
  <si>
    <t>Egypt</t>
  </si>
  <si>
    <t>Nigeria</t>
  </si>
  <si>
    <t>Continent</t>
  </si>
  <si>
    <t>Africa</t>
  </si>
  <si>
    <t>Algeria</t>
  </si>
  <si>
    <t>Angola</t>
  </si>
  <si>
    <t>Benin</t>
  </si>
  <si>
    <t>Botswana</t>
  </si>
  <si>
    <t>Burkina</t>
  </si>
  <si>
    <t>Burundi</t>
  </si>
  <si>
    <t>Cameroon</t>
  </si>
  <si>
    <t>Chad</t>
  </si>
  <si>
    <t>Comoros</t>
  </si>
  <si>
    <t>Congo</t>
  </si>
  <si>
    <t>Congo, Democratic Republic of</t>
  </si>
  <si>
    <t>Djibouti</t>
  </si>
  <si>
    <t>Guinea</t>
  </si>
  <si>
    <t>Eritrea</t>
  </si>
  <si>
    <t>Gabon</t>
  </si>
  <si>
    <t>Gambia</t>
  </si>
  <si>
    <t>Ghana</t>
  </si>
  <si>
    <t>Guinea-Bissau</t>
  </si>
  <si>
    <t>Lesotho</t>
  </si>
  <si>
    <t>Liberia</t>
  </si>
  <si>
    <t>Libya</t>
  </si>
  <si>
    <t>Madagascar</t>
  </si>
  <si>
    <t>Malawi</t>
  </si>
  <si>
    <t>Mali</t>
  </si>
  <si>
    <t>Mauritania</t>
  </si>
  <si>
    <t>Mauritius</t>
  </si>
  <si>
    <t>Mozambique</t>
  </si>
  <si>
    <t>Namibia</t>
  </si>
  <si>
    <t>Niger</t>
  </si>
  <si>
    <t>Rwanda</t>
  </si>
  <si>
    <t>Senegal</t>
  </si>
  <si>
    <t>Seychelles</t>
  </si>
  <si>
    <t>Somalia</t>
  </si>
  <si>
    <t>Sudan</t>
  </si>
  <si>
    <t>Swaziland</t>
  </si>
  <si>
    <t>Tanzania</t>
  </si>
  <si>
    <t>Togo</t>
  </si>
  <si>
    <t>Tunisia</t>
  </si>
  <si>
    <t>Uganda</t>
  </si>
  <si>
    <t>Zambia</t>
  </si>
  <si>
    <t>Zimbabwe</t>
  </si>
  <si>
    <t>Asia</t>
  </si>
  <si>
    <t>Afghanistan</t>
  </si>
  <si>
    <t>Bahrain</t>
  </si>
  <si>
    <t>Bangladesh</t>
  </si>
  <si>
    <t>Bhutan</t>
  </si>
  <si>
    <t>Brunei</t>
  </si>
  <si>
    <t>Cambodia</t>
  </si>
  <si>
    <t>Iran</t>
  </si>
  <si>
    <t>Iraq</t>
  </si>
  <si>
    <t>Israel</t>
  </si>
  <si>
    <t>Jordan</t>
  </si>
  <si>
    <t>Kuwait</t>
  </si>
  <si>
    <t>Kyrgyzstan</t>
  </si>
  <si>
    <t>Laos</t>
  </si>
  <si>
    <t>Lebanon</t>
  </si>
  <si>
    <t>Maldives</t>
  </si>
  <si>
    <t>Mongolia</t>
  </si>
  <si>
    <t>Nepal</t>
  </si>
  <si>
    <t>Oman</t>
  </si>
  <si>
    <t>Qatar</t>
  </si>
  <si>
    <t>Singapore</t>
  </si>
  <si>
    <t>Syria</t>
  </si>
  <si>
    <t>Tajikistan</t>
  </si>
  <si>
    <t>Turkmenistan</t>
  </si>
  <si>
    <t>Uzbekistan</t>
  </si>
  <si>
    <t>Vietnam</t>
  </si>
  <si>
    <t>Yemen</t>
  </si>
  <si>
    <t>Albania</t>
  </si>
  <si>
    <t>Andorra</t>
  </si>
  <si>
    <t>Armenia</t>
  </si>
  <si>
    <t>Azerbaijan</t>
  </si>
  <si>
    <t>Belarus</t>
  </si>
  <si>
    <t>Cyprus</t>
  </si>
  <si>
    <t>Estonia</t>
  </si>
  <si>
    <t>Georgia</t>
  </si>
  <si>
    <t>Latvia</t>
  </si>
  <si>
    <t>Liechtenstein</t>
  </si>
  <si>
    <t>Lithuania</t>
  </si>
  <si>
    <t>Luxembourg</t>
  </si>
  <si>
    <t>Macedonia</t>
  </si>
  <si>
    <t>Malta</t>
  </si>
  <si>
    <t>Moldova</t>
  </si>
  <si>
    <t>Monaco</t>
  </si>
  <si>
    <t>Montenegro</t>
  </si>
  <si>
    <t>Serbia</t>
  </si>
  <si>
    <t>Slovenia</t>
  </si>
  <si>
    <t>Ukraine</t>
  </si>
  <si>
    <t>Bahamas</t>
  </si>
  <si>
    <t>Barbados</t>
  </si>
  <si>
    <t>Belize</t>
  </si>
  <si>
    <t>Cuba</t>
  </si>
  <si>
    <t>Dominica</t>
  </si>
  <si>
    <t>Grenada</t>
  </si>
  <si>
    <t>Guatemala</t>
  </si>
  <si>
    <t>Haiti</t>
  </si>
  <si>
    <t>Honduras</t>
  </si>
  <si>
    <t>Jamaica</t>
  </si>
  <si>
    <t>Nicaragua</t>
  </si>
  <si>
    <t>Panama</t>
  </si>
  <si>
    <t>Oceania</t>
  </si>
  <si>
    <t>Fiji</t>
  </si>
  <si>
    <t>Kiribati</t>
  </si>
  <si>
    <t>Micronesia</t>
  </si>
  <si>
    <t>Nauru</t>
  </si>
  <si>
    <t>Palau</t>
  </si>
  <si>
    <t>Samoa</t>
  </si>
  <si>
    <t>Tonga</t>
  </si>
  <si>
    <t>Tuvalu</t>
  </si>
  <si>
    <t>Vanuatu</t>
  </si>
  <si>
    <t>Bolivia</t>
  </si>
  <si>
    <t>Ecuador</t>
  </si>
  <si>
    <t>Guyana</t>
  </si>
  <si>
    <t>Paraguay</t>
  </si>
  <si>
    <t>Suriname</t>
  </si>
  <si>
    <t>Uruguay</t>
  </si>
  <si>
    <t>Venezuela</t>
  </si>
  <si>
    <t>Cape Verde</t>
  </si>
  <si>
    <t>Central African Republic</t>
  </si>
  <si>
    <t>Equatorial Guinea</t>
  </si>
  <si>
    <t>Ivory Coast</t>
  </si>
  <si>
    <t>Sao Tome and Principe</t>
  </si>
  <si>
    <t>Sierra Leone</t>
  </si>
  <si>
    <t>South Sudan</t>
  </si>
  <si>
    <t>Burma (Myanmar)</t>
  </si>
  <si>
    <t>East Timor</t>
  </si>
  <si>
    <t>Russian Federation</t>
  </si>
  <si>
    <t>Saudi Arabia</t>
  </si>
  <si>
    <t>Sri Lanka</t>
  </si>
  <si>
    <t>United Arab Emirates</t>
  </si>
  <si>
    <t>Bosnia and Herzegovina</t>
  </si>
  <si>
    <t>San Marino</t>
  </si>
  <si>
    <t>United Kingdom</t>
  </si>
  <si>
    <t>Vatican City</t>
  </si>
  <si>
    <t>North America</t>
  </si>
  <si>
    <t>Antigua and Barbuda</t>
  </si>
  <si>
    <t>Dominican Republic</t>
  </si>
  <si>
    <t>El Salvador</t>
  </si>
  <si>
    <t>Saint Kitts and Nevis</t>
  </si>
  <si>
    <t>Saint Lucia</t>
  </si>
  <si>
    <t>Saint Vincent and the Grenadines</t>
  </si>
  <si>
    <t>Trinidad and Tobago</t>
  </si>
  <si>
    <t>Marshall Islands</t>
  </si>
  <si>
    <t>Papua New Guinea</t>
  </si>
  <si>
    <t>Solomon Islands</t>
  </si>
  <si>
    <t>South America</t>
  </si>
  <si>
    <t>Others</t>
  </si>
  <si>
    <t>Original List =1 (Autre = 0)</t>
  </si>
  <si>
    <t>aucun frais de shipping supp si un ou plus logiciels, pas de frais sup si 1 ou 1 set de 3 trays</t>
  </si>
  <si>
    <t>aucun frais de shipping supp si un ou plus logiciels, pas de frais sup si 1 ou 1 set de 5 trays</t>
  </si>
  <si>
    <t>FilteredCountry</t>
  </si>
  <si>
    <t>rownum</t>
  </si>
  <si>
    <t>FoundInSearch</t>
  </si>
  <si>
    <t>SOUTH AM.</t>
  </si>
  <si>
    <t>ICE-PAK</t>
  </si>
  <si>
    <t>HawaiI</t>
  </si>
  <si>
    <t>Central Europe 601</t>
  </si>
  <si>
    <t>Southeastern Europe 608</t>
  </si>
  <si>
    <t>IcePakBeng</t>
  </si>
  <si>
    <t>AUTRE</t>
  </si>
  <si>
    <t>iceland</t>
  </si>
  <si>
    <t>Hawai</t>
  </si>
  <si>
    <t>Hawaii, Alaska</t>
  </si>
  <si>
    <t>Morocco, Kenya, Ethiopia, South Africa, Egypt-, Nigeria+</t>
  </si>
  <si>
    <t>Hawai, Alaska</t>
  </si>
  <si>
    <t>$ to Sip STD Scanner Cost + 10% (calculee par Diane)</t>
  </si>
  <si>
    <t>Ratio to Europe ou USA</t>
  </si>
  <si>
    <t>N Softwares alone</t>
  </si>
  <si>
    <r>
      <t>STD Scanner (</t>
    </r>
    <r>
      <rPr>
        <b/>
        <sz val="12"/>
        <color theme="9"/>
        <rFont val="Calibri (Body)"/>
      </rPr>
      <t>SLS**</t>
    </r>
    <r>
      <rPr>
        <sz val="12"/>
        <color theme="1"/>
        <rFont val="Calibri"/>
        <family val="2"/>
        <scheme val="minor"/>
      </rPr>
      <t xml:space="preserve"> always included)</t>
    </r>
  </si>
  <si>
    <r>
      <t xml:space="preserve">LA Scanner </t>
    </r>
    <r>
      <rPr>
        <b/>
        <sz val="12"/>
        <color theme="9"/>
        <rFont val="Calibri (Body)"/>
      </rPr>
      <t>with SLS**</t>
    </r>
  </si>
  <si>
    <r>
      <t xml:space="preserve">LA Scanner </t>
    </r>
    <r>
      <rPr>
        <b/>
        <sz val="12"/>
        <color theme="9"/>
        <rFont val="Calibri (Body)"/>
      </rPr>
      <t>without SLS**</t>
    </r>
  </si>
  <si>
    <t>STD sans Scanner, LC Scanner, PICK 12 x 16"</t>
  </si>
  <si>
    <t>LA sans scanner</t>
  </si>
  <si>
    <t>LA sans scanner + Extras (=1.25 * LA Sans Scanner d'apres test)</t>
  </si>
  <si>
    <t>PICK 18 x 24"</t>
  </si>
  <si>
    <t>Vert = Calculé par Diane</t>
  </si>
  <si>
    <t>Noir = Estimé basee sur STD Scaner ou LA Sans Scanner</t>
  </si>
  <si>
    <t>USA (Hawaii)</t>
  </si>
  <si>
    <t>USA (Alaska)</t>
  </si>
  <si>
    <t>en jaune : à confirmer</t>
  </si>
  <si>
    <t>HowManyHardwareBought</t>
  </si>
  <si>
    <t>Commentaires pour Shipping Costs</t>
  </si>
  <si>
    <t>No XL</t>
  </si>
  <si>
    <t>SCANOPY System Calib Manual</t>
  </si>
  <si>
    <t>United States</t>
  </si>
  <si>
    <t>24x20x8</t>
  </si>
  <si>
    <t>PAK</t>
  </si>
  <si>
    <t>Flags</t>
  </si>
  <si>
    <t>USA North America</t>
  </si>
  <si>
    <t>☐ Testé</t>
  </si>
  <si>
    <t>Code Facture</t>
  </si>
  <si>
    <t>AFR_NE</t>
  </si>
  <si>
    <t>AFR_E</t>
  </si>
  <si>
    <t>AFR_O</t>
  </si>
  <si>
    <t>AFR_S</t>
  </si>
  <si>
    <t>ASIE_E</t>
  </si>
  <si>
    <t>ASIE_S</t>
  </si>
  <si>
    <t>ASIE_SE</t>
  </si>
  <si>
    <t>ASIE_O</t>
  </si>
  <si>
    <t>OCEANIA</t>
  </si>
  <si>
    <t>EU_C</t>
  </si>
  <si>
    <t>EU_O</t>
  </si>
  <si>
    <t>EU_S</t>
  </si>
  <si>
    <t>EU_N</t>
  </si>
  <si>
    <t>EU_SE</t>
  </si>
  <si>
    <t>AM_C</t>
  </si>
  <si>
    <t>AM_S</t>
  </si>
  <si>
    <t>EU_NO</t>
  </si>
  <si>
    <t>CAN</t>
  </si>
  <si>
    <t>MEX</t>
  </si>
  <si>
    <t>18 x 14 x 11</t>
  </si>
  <si>
    <t>14 x 13 x 10</t>
  </si>
  <si>
    <t>DENDRO_N_UpgradeUpdateOnly</t>
  </si>
  <si>
    <t>CELL_N_UpgradeUpdateOnly</t>
  </si>
  <si>
    <t>RHIZO_N_UpgradeUpdateOnly</t>
  </si>
  <si>
    <t>RHIZO Tron_N_UpgradeUpdateOnly</t>
  </si>
  <si>
    <t>FOLIA_N_UpgradeUpdateOnly</t>
  </si>
  <si>
    <t>SEEDLE_N_UpgradeUpdateOnly</t>
  </si>
  <si>
    <t>CAM_N_UpgradeUpdateOnly</t>
  </si>
  <si>
    <t>SCANOPY_N_UpgradeUpdateOnly</t>
  </si>
  <si>
    <t xml:space="preserve">     Normalement inutilisé vu pas de système</t>
  </si>
  <si>
    <t>Versions AVEC mention de digital/internet download ci-dessous</t>
  </si>
  <si>
    <t>Versions SANS mention de digital/internet download ci-dessous</t>
  </si>
  <si>
    <t>Nicolas Lachance</t>
  </si>
  <si>
    <t>Shipped</t>
  </si>
  <si>
    <r>
      <t xml:space="preserve"> 
</t>
    </r>
    <r>
      <rPr>
        <b/>
        <i/>
        <sz val="20"/>
        <color rgb="FF1185EF"/>
        <rFont val="Calibri (Body)"/>
      </rPr>
      <t>TO GET A QUOTE</t>
    </r>
    <r>
      <rPr>
        <sz val="12"/>
        <color theme="1"/>
        <rFont val="Calibri"/>
        <family val="2"/>
        <scheme val="minor"/>
      </rPr>
      <t xml:space="preserve">
Enter your customer information below (it will be shown on the quote) and select products of interest in their respective sheet (there is one sheet per product with their name on a tab at the bottom). When done, click the </t>
    </r>
    <r>
      <rPr>
        <i/>
        <sz val="12"/>
        <color theme="1"/>
        <rFont val="Calibri"/>
        <family val="2"/>
        <scheme val="minor"/>
      </rPr>
      <t>Quote</t>
    </r>
    <r>
      <rPr>
        <sz val="12"/>
        <color theme="1"/>
        <rFont val="Calibri"/>
        <family val="2"/>
        <scheme val="minor"/>
      </rPr>
      <t xml:space="preserve">tab to view it.
You can also get prices per item in the static price list (click the "Static $" tabs in the lower right corner).
</t>
    </r>
    <r>
      <rPr>
        <b/>
        <sz val="13"/>
        <color rgb="FF00B050"/>
        <rFont val="Calibri (Body)"/>
      </rPr>
      <t>You get a discount when ordering more than one item of the same product: 10% on the 2</t>
    </r>
    <r>
      <rPr>
        <b/>
        <vertAlign val="superscript"/>
        <sz val="13"/>
        <color rgb="FF00B050"/>
        <rFont val="Calibri (Body)"/>
      </rPr>
      <t>nd</t>
    </r>
    <r>
      <rPr>
        <b/>
        <sz val="13"/>
        <color rgb="FF00B050"/>
        <rFont val="Calibri (Body)"/>
      </rPr>
      <t xml:space="preserve"> one, 20% on the 3</t>
    </r>
    <r>
      <rPr>
        <b/>
        <vertAlign val="superscript"/>
        <sz val="13"/>
        <color rgb="FF00B050"/>
        <rFont val="Calibri (Body)"/>
      </rPr>
      <t>rd</t>
    </r>
    <r>
      <rPr>
        <b/>
        <sz val="13"/>
        <color rgb="FF00B050"/>
        <rFont val="Calibri (Body)"/>
      </rPr>
      <t>, 30% on the 4</t>
    </r>
    <r>
      <rPr>
        <b/>
        <vertAlign val="superscript"/>
        <sz val="13"/>
        <color rgb="FF00B050"/>
        <rFont val="Calibri (Body)"/>
      </rPr>
      <t>th</t>
    </r>
    <r>
      <rPr>
        <b/>
        <sz val="13"/>
        <color rgb="FF00B050"/>
        <rFont val="Calibri (Body)"/>
      </rPr>
      <t xml:space="preserve"> and so on up to 60%</t>
    </r>
    <r>
      <rPr>
        <sz val="13"/>
        <color rgb="FF00B050"/>
        <rFont val="Calibri (Body)"/>
      </rPr>
      <t>. Also valid when purchasing additional ones later on.</t>
    </r>
    <r>
      <rPr>
        <sz val="12"/>
        <color rgb="FF00B050"/>
        <rFont val="Calibri (Body)"/>
      </rPr>
      <t xml:space="preserve">
</t>
    </r>
    <r>
      <rPr>
        <sz val="12"/>
        <color theme="1"/>
        <rFont val="Calibri"/>
        <family val="2"/>
        <scheme val="minor"/>
      </rPr>
      <t xml:space="preserve">
</t>
    </r>
    <r>
      <rPr>
        <b/>
        <sz val="13"/>
        <color rgb="FFC00000"/>
        <rFont val="Calibri (Body)"/>
      </rPr>
      <t>You get a larger discount when ordering more than one family of products: 20% on the 2</t>
    </r>
    <r>
      <rPr>
        <b/>
        <vertAlign val="superscript"/>
        <sz val="13"/>
        <color rgb="FFC00000"/>
        <rFont val="Calibri (Body)"/>
      </rPr>
      <t>nd</t>
    </r>
    <r>
      <rPr>
        <b/>
        <sz val="13"/>
        <color rgb="FFC00000"/>
        <rFont val="Calibri (Body)"/>
      </rPr>
      <t xml:space="preserve"> one, 40% on the 3</t>
    </r>
    <r>
      <rPr>
        <b/>
        <vertAlign val="superscript"/>
        <sz val="13"/>
        <color rgb="FFC00000"/>
        <rFont val="Calibri (Body)"/>
      </rPr>
      <t>rd</t>
    </r>
    <r>
      <rPr>
        <b/>
        <sz val="13"/>
        <color rgb="FFC00000"/>
        <rFont val="Calibri (Body)"/>
      </rPr>
      <t>, 60% on the 4</t>
    </r>
    <r>
      <rPr>
        <b/>
        <vertAlign val="superscript"/>
        <sz val="13"/>
        <color rgb="FFC00000"/>
        <rFont val="Calibri (Body)"/>
      </rPr>
      <t>th</t>
    </r>
    <r>
      <rPr>
        <b/>
        <sz val="13"/>
        <color rgb="FFC00000"/>
        <rFont val="Calibri (Body)"/>
      </rPr>
      <t xml:space="preserve"> and over, for the same client, on the same invoice and shipment.</t>
    </r>
    <r>
      <rPr>
        <sz val="12"/>
        <color theme="1"/>
        <rFont val="Calibri"/>
        <family val="2"/>
        <scheme val="minor"/>
      </rPr>
      <t xml:space="preserve">
To lower shipping and import fees, see our "Split in 2 Invoices" and "Internet Download" options on the "Quote" sheet.
</t>
    </r>
  </si>
  <si>
    <r>
      <t xml:space="preserve"> 
</t>
    </r>
    <r>
      <rPr>
        <b/>
        <i/>
        <sz val="20"/>
        <color rgb="FF1185EF"/>
        <rFont val="Calibri (Body)"/>
      </rPr>
      <t>TO GET A QUOTE</t>
    </r>
    <r>
      <rPr>
        <sz val="12"/>
        <color theme="1"/>
        <rFont val="Calibri"/>
        <family val="2"/>
        <scheme val="minor"/>
      </rPr>
      <t xml:space="preserve">
Enter your customer information below (it will be shown on the quote) and select products of interest in their respective sheet (there is one sheet per product with their name on a tab at the bottom). When done, click the </t>
    </r>
    <r>
      <rPr>
        <i/>
        <sz val="12"/>
        <color theme="1"/>
        <rFont val="Calibri"/>
        <family val="2"/>
        <scheme val="minor"/>
      </rPr>
      <t>Quote</t>
    </r>
    <r>
      <rPr>
        <sz val="12"/>
        <color theme="1"/>
        <rFont val="Calibri"/>
        <family val="2"/>
        <scheme val="minor"/>
      </rPr>
      <t xml:space="preserve">tab to view it.
You can also get prices per item in the static price list (click the "Static $" tabs in the lower right corner).
</t>
    </r>
    <r>
      <rPr>
        <b/>
        <sz val="13"/>
        <color rgb="FF00B050"/>
        <rFont val="Calibri (Body)"/>
      </rPr>
      <t>You get a discount when ordering more than one item of the same product: 10% on the 2</t>
    </r>
    <r>
      <rPr>
        <b/>
        <vertAlign val="superscript"/>
        <sz val="13"/>
        <color rgb="FF00B050"/>
        <rFont val="Calibri (Body)"/>
      </rPr>
      <t>nd</t>
    </r>
    <r>
      <rPr>
        <b/>
        <sz val="13"/>
        <color rgb="FF00B050"/>
        <rFont val="Calibri (Body)"/>
      </rPr>
      <t xml:space="preserve"> one, 20% on the 3</t>
    </r>
    <r>
      <rPr>
        <b/>
        <vertAlign val="superscript"/>
        <sz val="13"/>
        <color rgb="FF00B050"/>
        <rFont val="Calibri (Body)"/>
      </rPr>
      <t>rd</t>
    </r>
    <r>
      <rPr>
        <b/>
        <sz val="13"/>
        <color rgb="FF00B050"/>
        <rFont val="Calibri (Body)"/>
      </rPr>
      <t>, 30% on the 4</t>
    </r>
    <r>
      <rPr>
        <b/>
        <vertAlign val="superscript"/>
        <sz val="13"/>
        <color rgb="FF00B050"/>
        <rFont val="Calibri (Body)"/>
      </rPr>
      <t>th</t>
    </r>
    <r>
      <rPr>
        <b/>
        <sz val="13"/>
        <color rgb="FF00B050"/>
        <rFont val="Calibri (Body)"/>
      </rPr>
      <t xml:space="preserve"> and so on up to 60%</t>
    </r>
    <r>
      <rPr>
        <sz val="13"/>
        <color rgb="FF00B050"/>
        <rFont val="Calibri (Body)"/>
      </rPr>
      <t>. Also valid when purchasing additional ones later on.</t>
    </r>
    <r>
      <rPr>
        <sz val="12"/>
        <color rgb="FF00B050"/>
        <rFont val="Calibri (Body)"/>
      </rPr>
      <t xml:space="preserve">
</t>
    </r>
    <r>
      <rPr>
        <sz val="12"/>
        <color theme="1"/>
        <rFont val="Calibri"/>
        <family val="2"/>
        <scheme val="minor"/>
      </rPr>
      <t xml:space="preserve">
</t>
    </r>
    <r>
      <rPr>
        <b/>
        <sz val="13"/>
        <color rgb="FFC00000"/>
        <rFont val="Calibri (Body)"/>
      </rPr>
      <t>You get a larger discount when ordering more than one family of products: 20% on the 2</t>
    </r>
    <r>
      <rPr>
        <b/>
        <vertAlign val="superscript"/>
        <sz val="13"/>
        <color rgb="FFC00000"/>
        <rFont val="Calibri (Body)"/>
      </rPr>
      <t>nd</t>
    </r>
    <r>
      <rPr>
        <b/>
        <sz val="13"/>
        <color rgb="FFC00000"/>
        <rFont val="Calibri (Body)"/>
      </rPr>
      <t xml:space="preserve"> one, 40% on the 3</t>
    </r>
    <r>
      <rPr>
        <b/>
        <vertAlign val="superscript"/>
        <sz val="13"/>
        <color rgb="FFC00000"/>
        <rFont val="Calibri (Body)"/>
      </rPr>
      <t>rd</t>
    </r>
    <r>
      <rPr>
        <b/>
        <sz val="13"/>
        <color rgb="FFC00000"/>
        <rFont val="Calibri (Body)"/>
      </rPr>
      <t>, 60% on the 4</t>
    </r>
    <r>
      <rPr>
        <b/>
        <vertAlign val="superscript"/>
        <sz val="13"/>
        <color rgb="FFC00000"/>
        <rFont val="Calibri (Body)"/>
      </rPr>
      <t>th</t>
    </r>
    <r>
      <rPr>
        <b/>
        <sz val="13"/>
        <color rgb="FFC00000"/>
        <rFont val="Calibri (Body)"/>
      </rPr>
      <t xml:space="preserve"> and over, for the same client, on the same invoice and shipment.</t>
    </r>
    <r>
      <rPr>
        <sz val="12"/>
        <color theme="1"/>
        <rFont val="Calibri"/>
        <family val="2"/>
        <scheme val="minor"/>
      </rPr>
      <t xml:space="preserve">
To lower shipping and import fees, see our "Split in 2 Invoices" option on the "Quote" sheet.
</t>
    </r>
  </si>
  <si>
    <r>
      <t xml:space="preserve"> 
</t>
    </r>
    <r>
      <rPr>
        <b/>
        <i/>
        <sz val="20"/>
        <color rgb="FF1185EF"/>
        <rFont val="Calibri (Body)"/>
      </rPr>
      <t>TO GET A QUOTE</t>
    </r>
    <r>
      <rPr>
        <sz val="12"/>
        <color theme="1"/>
        <rFont val="Calibri"/>
        <family val="2"/>
        <scheme val="minor"/>
      </rPr>
      <t xml:space="preserve">
Enter your customer information below (it will be shown on the quote) and select products of interest in their respective sheet (there is one sheet per product with their name on a tab at the bottom). When done, click the </t>
    </r>
    <r>
      <rPr>
        <i/>
        <sz val="12"/>
        <color theme="1"/>
        <rFont val="Calibri"/>
        <family val="2"/>
        <scheme val="minor"/>
      </rPr>
      <t>Quote</t>
    </r>
    <r>
      <rPr>
        <sz val="12"/>
        <color theme="1"/>
        <rFont val="Calibri"/>
        <family val="2"/>
        <scheme val="minor"/>
      </rPr>
      <t>tab to view it.
You can also get prices per item in the static price list (click the "Static $" tabs in the lower right corner).
To lower shipping and import fees, see our "Split in 2 Invoices" option on the "Quote" sheet.</t>
    </r>
  </si>
  <si>
    <r>
      <t xml:space="preserve"> 
</t>
    </r>
    <r>
      <rPr>
        <b/>
        <i/>
        <sz val="20"/>
        <color rgb="FF1185EF"/>
        <rFont val="Calibri (Body)"/>
      </rPr>
      <t>TO GET A QUOTE</t>
    </r>
    <r>
      <rPr>
        <sz val="12"/>
        <color theme="1"/>
        <rFont val="Calibri"/>
        <family val="2"/>
        <scheme val="minor"/>
      </rPr>
      <t xml:space="preserve">
Enter your customer information below (it will be shown on the quote) and select products of interest in their respective sheet (there is one sheet per product with their name on a tab at the bottom). When done, click the </t>
    </r>
    <r>
      <rPr>
        <i/>
        <sz val="12"/>
        <color theme="1"/>
        <rFont val="Calibri"/>
        <family val="2"/>
        <scheme val="minor"/>
      </rPr>
      <t>Quote</t>
    </r>
    <r>
      <rPr>
        <sz val="12"/>
        <color theme="1"/>
        <rFont val="Calibri"/>
        <family val="2"/>
        <scheme val="minor"/>
      </rPr>
      <t>tab to view it.
You can also get prices per item in the static price list (click the "Static $" tabs in the lower right corner).
To lower shipping and import fees, see our "Split in 2 Invoices" and "Internet Download" options on the "Quote" sheet.</t>
    </r>
  </si>
  <si>
    <r>
      <t xml:space="preserve">
</t>
    </r>
    <r>
      <rPr>
        <b/>
        <i/>
        <sz val="20"/>
        <color rgb="FF1185EF"/>
        <rFont val="Calibri (Body)"/>
      </rPr>
      <t>POUR OBTENIR UNE SOUMISSION</t>
    </r>
    <r>
      <rPr>
        <sz val="12"/>
        <color theme="1"/>
        <rFont val="Calibri"/>
        <family val="2"/>
        <scheme val="minor"/>
      </rPr>
      <t xml:space="preserve">
Entrez vos informations client ci-dessous (elles seront affichées sur le devis) et sélectionnez les produits qui vous intéressent dans leur onglet respectif (il y a un onglet en bas de page pour chaque produit dans le bas). Lorsque vous avez terminé, cliquez sur l'onglet </t>
    </r>
    <r>
      <rPr>
        <i/>
        <sz val="12"/>
        <color theme="1"/>
        <rFont val="Calibri"/>
        <family val="2"/>
        <scheme val="minor"/>
      </rPr>
      <t>Quote</t>
    </r>
    <r>
      <rPr>
        <sz val="12"/>
        <color theme="1"/>
        <rFont val="Calibri"/>
        <family val="2"/>
        <scheme val="minor"/>
      </rPr>
      <t>pour l'afficher.
Vous pouvez également obtenir les prix par article (cliquer sur les onglets "Static $" dans le coin inférieur droit).
Pour réduire les frais d'expédition et d'importation, consultez nos options "Split in 2 Invoices" et "Internet Download" sur la feuille "Quote".</t>
    </r>
  </si>
  <si>
    <r>
      <t xml:space="preserve">
</t>
    </r>
    <r>
      <rPr>
        <b/>
        <i/>
        <sz val="20"/>
        <color rgb="FF1185EF"/>
        <rFont val="Calibri (Body)"/>
      </rPr>
      <t>POUR OBTENIR UNE SOUMISSION</t>
    </r>
    <r>
      <rPr>
        <sz val="12"/>
        <color theme="1"/>
        <rFont val="Calibri"/>
        <family val="2"/>
        <scheme val="minor"/>
      </rPr>
      <t xml:space="preserve">
Entrez vos informations client ci-dessous (elles seront affichées sur le devis) et sélectionnez les produits qui vous intéressent dans leur onglet respectif (il y a un onglet en bas de page pour chaque produit dans le bas). Lorsque vous avez terminé, cliquez sur l'onglet </t>
    </r>
    <r>
      <rPr>
        <i/>
        <sz val="12"/>
        <color theme="1"/>
        <rFont val="Calibri"/>
        <family val="2"/>
        <scheme val="minor"/>
      </rPr>
      <t>Quote</t>
    </r>
    <r>
      <rPr>
        <sz val="12"/>
        <color theme="1"/>
        <rFont val="Calibri"/>
        <family val="2"/>
        <scheme val="minor"/>
      </rPr>
      <t xml:space="preserve">pour l'afficher.
Vous pouvez également obtenir les prix par article (cliquer sur les onglets "Static $" dans le coin inférieur droit).
</t>
    </r>
    <r>
      <rPr>
        <b/>
        <sz val="13"/>
        <color rgb="FF00B050"/>
        <rFont val="Calibri (Body)"/>
      </rPr>
      <t>Un rabais est offert avec plus d'un article du même produit : 10% sur le 2</t>
    </r>
    <r>
      <rPr>
        <b/>
        <vertAlign val="superscript"/>
        <sz val="13"/>
        <color rgb="FF00B050"/>
        <rFont val="Calibri (Body)"/>
      </rPr>
      <t>e</t>
    </r>
    <r>
      <rPr>
        <b/>
        <sz val="13"/>
        <color rgb="FF00B050"/>
        <rFont val="Calibri (Body)"/>
      </rPr>
      <t xml:space="preserve"> 20% sur le 3</t>
    </r>
    <r>
      <rPr>
        <b/>
        <vertAlign val="superscript"/>
        <sz val="13"/>
        <color rgb="FF00B050"/>
        <rFont val="Calibri (Body)"/>
      </rPr>
      <t>e</t>
    </r>
    <r>
      <rPr>
        <b/>
        <sz val="13"/>
        <color rgb="FF00B050"/>
        <rFont val="Calibri (Body)"/>
      </rPr>
      <t xml:space="preserve"> 30% sur le 4</t>
    </r>
    <r>
      <rPr>
        <b/>
        <vertAlign val="superscript"/>
        <sz val="13"/>
        <color rgb="FF00B050"/>
        <rFont val="Calibri (Body)"/>
      </rPr>
      <t>e</t>
    </r>
    <r>
      <rPr>
        <b/>
        <sz val="13"/>
        <color rgb="FF00B050"/>
        <rFont val="Calibri (Body)"/>
      </rPr>
      <t xml:space="preserve"> et ainsi de suite jusqu'à 60%</t>
    </r>
    <r>
      <rPr>
        <sz val="13"/>
        <color rgb="FF00B050"/>
        <rFont val="Calibri (Body)"/>
      </rPr>
      <t>. Aussi valable pour l'achat ultérieur d'autres produits.</t>
    </r>
    <r>
      <rPr>
        <sz val="12"/>
        <color rgb="FF00B050"/>
        <rFont val="Calibri (Body)"/>
      </rPr>
      <t xml:space="preserve">
</t>
    </r>
    <r>
      <rPr>
        <sz val="12"/>
        <color theme="1"/>
        <rFont val="Calibri"/>
        <family val="2"/>
        <scheme val="minor"/>
      </rPr>
      <t xml:space="preserve">
</t>
    </r>
    <r>
      <rPr>
        <b/>
        <sz val="13"/>
        <color rgb="FFFF0000"/>
        <rFont val="Calibri (Body)"/>
      </rPr>
      <t>Vous bénéficiez également de rabais plus importants lorsque vous commandez plus d'un produit de famille différente : 20% sur le 2</t>
    </r>
    <r>
      <rPr>
        <b/>
        <vertAlign val="superscript"/>
        <sz val="13"/>
        <color rgb="FFFF0000"/>
        <rFont val="Calibri (Body)"/>
      </rPr>
      <t>e</t>
    </r>
    <r>
      <rPr>
        <b/>
        <sz val="13"/>
        <color rgb="FFFF0000"/>
        <rFont val="Calibri (Body)"/>
      </rPr>
      <t xml:space="preserve"> 40% sur le 3</t>
    </r>
    <r>
      <rPr>
        <b/>
        <vertAlign val="superscript"/>
        <sz val="13"/>
        <color rgb="FFFF0000"/>
        <rFont val="Calibri (Body)"/>
      </rPr>
      <t>e</t>
    </r>
    <r>
      <rPr>
        <b/>
        <sz val="13"/>
        <color rgb="FFFF0000"/>
        <rFont val="Calibri (Body)"/>
      </rPr>
      <t xml:space="preserve"> 60% sur le 4</t>
    </r>
    <r>
      <rPr>
        <b/>
        <vertAlign val="superscript"/>
        <sz val="13"/>
        <color rgb="FFFF0000"/>
        <rFont val="Calibri (Body)"/>
      </rPr>
      <t>e</t>
    </r>
    <r>
      <rPr>
        <b/>
        <sz val="13"/>
        <color rgb="FFFF0000"/>
        <rFont val="Calibri (Body)"/>
      </rPr>
      <t xml:space="preserve"> et plus, pour le même client, sur la même facture et le même envoi.
</t>
    </r>
    <r>
      <rPr>
        <sz val="12"/>
        <rFont val="Calibri (Body)"/>
      </rPr>
      <t>Pour réduire les frais d'expédition et d'importation, consultez nos options "Split in 2 Invoices" et "Internet Download" sur la feuille "Quote".</t>
    </r>
    <r>
      <rPr>
        <sz val="12"/>
        <color theme="1"/>
        <rFont val="Calibri"/>
        <family val="2"/>
        <scheme val="minor"/>
      </rPr>
      <t xml:space="preserve">
</t>
    </r>
    <r>
      <rPr>
        <b/>
        <i/>
        <sz val="20"/>
        <color rgb="FF1185EF"/>
        <rFont val="Calibri (Body)"/>
      </rPr>
      <t/>
    </r>
  </si>
  <si>
    <r>
      <t xml:space="preserve">
</t>
    </r>
    <r>
      <rPr>
        <b/>
        <i/>
        <sz val="20"/>
        <color rgb="FF1185EF"/>
        <rFont val="Calibri (Body)"/>
      </rPr>
      <t>POUR OBTENIR UNE SOUMISSION</t>
    </r>
    <r>
      <rPr>
        <sz val="12"/>
        <color theme="1"/>
        <rFont val="Calibri"/>
        <family val="2"/>
        <scheme val="minor"/>
      </rPr>
      <t xml:space="preserve">
Entrez vos informations client ci-dessous (elles seront affichées sur le devis) et sélectionnez les produits qui vous intéressent dans leur onglet respectif (il y a un onglet en bas de page pour chaque produit dans le bas). Lorsque vous avez terminé, cliquez sur l'onglet </t>
    </r>
    <r>
      <rPr>
        <i/>
        <sz val="12"/>
        <color theme="1"/>
        <rFont val="Calibri"/>
        <family val="2"/>
        <scheme val="minor"/>
      </rPr>
      <t>Quote</t>
    </r>
    <r>
      <rPr>
        <sz val="12"/>
        <color theme="1"/>
        <rFont val="Calibri"/>
        <family val="2"/>
        <scheme val="minor"/>
      </rPr>
      <t xml:space="preserve">pour l'afficher.
Vous pouvez également obtenir les prix par article (cliquer sur les onglets "Static $" dans le coin inférieur droit).
</t>
    </r>
    <r>
      <rPr>
        <b/>
        <sz val="13"/>
        <color rgb="FF00B050"/>
        <rFont val="Calibri (Body)"/>
      </rPr>
      <t>Un rabais est offert avec plus d'un article du même produit : 10% sur le 2</t>
    </r>
    <r>
      <rPr>
        <b/>
        <vertAlign val="superscript"/>
        <sz val="13"/>
        <color rgb="FF00B050"/>
        <rFont val="Calibri (Body)"/>
      </rPr>
      <t>e</t>
    </r>
    <r>
      <rPr>
        <b/>
        <sz val="13"/>
        <color rgb="FF00B050"/>
        <rFont val="Calibri (Body)"/>
      </rPr>
      <t xml:space="preserve"> 20% sur le 3</t>
    </r>
    <r>
      <rPr>
        <b/>
        <vertAlign val="superscript"/>
        <sz val="13"/>
        <color rgb="FF00B050"/>
        <rFont val="Calibri (Body)"/>
      </rPr>
      <t>e</t>
    </r>
    <r>
      <rPr>
        <b/>
        <sz val="13"/>
        <color rgb="FF00B050"/>
        <rFont val="Calibri (Body)"/>
      </rPr>
      <t xml:space="preserve"> 30% sur le 4</t>
    </r>
    <r>
      <rPr>
        <b/>
        <vertAlign val="superscript"/>
        <sz val="13"/>
        <color rgb="FF00B050"/>
        <rFont val="Calibri (Body)"/>
      </rPr>
      <t>e</t>
    </r>
    <r>
      <rPr>
        <b/>
        <sz val="13"/>
        <color rgb="FF00B050"/>
        <rFont val="Calibri (Body)"/>
      </rPr>
      <t xml:space="preserve"> et ainsi de suite jusqu'à 60%</t>
    </r>
    <r>
      <rPr>
        <sz val="13"/>
        <color rgb="FF00B050"/>
        <rFont val="Calibri (Body)"/>
      </rPr>
      <t>. Aussi valable pour l'achat ultérieur d'autres produits.</t>
    </r>
    <r>
      <rPr>
        <sz val="12"/>
        <color rgb="FF00B050"/>
        <rFont val="Calibri (Body)"/>
      </rPr>
      <t xml:space="preserve">
</t>
    </r>
    <r>
      <rPr>
        <sz val="12"/>
        <color theme="1"/>
        <rFont val="Calibri"/>
        <family val="2"/>
        <scheme val="minor"/>
      </rPr>
      <t xml:space="preserve">
</t>
    </r>
    <r>
      <rPr>
        <b/>
        <sz val="13"/>
        <color rgb="FFFF0000"/>
        <rFont val="Calibri (Body)"/>
      </rPr>
      <t>Vous bénéficiez également de rabais plus importants lorsque vous commandez plus d'un produit de famille différente : 20% sur le 2</t>
    </r>
    <r>
      <rPr>
        <b/>
        <vertAlign val="superscript"/>
        <sz val="13"/>
        <color rgb="FFFF0000"/>
        <rFont val="Calibri (Body)"/>
      </rPr>
      <t>e</t>
    </r>
    <r>
      <rPr>
        <b/>
        <sz val="13"/>
        <color rgb="FFFF0000"/>
        <rFont val="Calibri (Body)"/>
      </rPr>
      <t xml:space="preserve"> 40% sur le 3</t>
    </r>
    <r>
      <rPr>
        <b/>
        <vertAlign val="superscript"/>
        <sz val="13"/>
        <color rgb="FFFF0000"/>
        <rFont val="Calibri (Body)"/>
      </rPr>
      <t>e</t>
    </r>
    <r>
      <rPr>
        <b/>
        <sz val="13"/>
        <color rgb="FFFF0000"/>
        <rFont val="Calibri (Body)"/>
      </rPr>
      <t xml:space="preserve"> 60% sur le 4</t>
    </r>
    <r>
      <rPr>
        <b/>
        <vertAlign val="superscript"/>
        <sz val="13"/>
        <color rgb="FFFF0000"/>
        <rFont val="Calibri (Body)"/>
      </rPr>
      <t>e</t>
    </r>
    <r>
      <rPr>
        <b/>
        <sz val="13"/>
        <color rgb="FFFF0000"/>
        <rFont val="Calibri (Body)"/>
      </rPr>
      <t xml:space="preserve"> et plus, pour le même client, sur la même facture et le même envoi.
</t>
    </r>
    <r>
      <rPr>
        <sz val="12"/>
        <rFont val="Calibri (Body)"/>
      </rPr>
      <t>Pour réduire les frais d'expédition et d'importation, consultez l'option "Split in 2 Invoices" sur la feuille "Quote".</t>
    </r>
    <r>
      <rPr>
        <sz val="12"/>
        <color theme="1"/>
        <rFont val="Calibri"/>
        <family val="2"/>
        <scheme val="minor"/>
      </rPr>
      <t xml:space="preserve">
</t>
    </r>
    <r>
      <rPr>
        <b/>
        <i/>
        <sz val="20"/>
        <color rgb="FF1185EF"/>
        <rFont val="Calibri (Body)"/>
      </rPr>
      <t/>
    </r>
  </si>
  <si>
    <r>
      <t xml:space="preserve">
</t>
    </r>
    <r>
      <rPr>
        <b/>
        <i/>
        <sz val="20"/>
        <color rgb="FF1185EF"/>
        <rFont val="Calibri (Body)"/>
      </rPr>
      <t>POUR OBTENIR UNE SOUMISSION</t>
    </r>
    <r>
      <rPr>
        <sz val="12"/>
        <color theme="1"/>
        <rFont val="Calibri"/>
        <family val="2"/>
        <scheme val="minor"/>
      </rPr>
      <t xml:space="preserve">
Entrez vos informations client ci-dessous (elles seront affichées sur le devis) et sélectionnez les produits qui vous intéressent dans leur onglet respectif (il y a un onglet en bas de page pour chaque produit dans le bas). Lorsque vous avez terminé, cliquez sur l'onglet </t>
    </r>
    <r>
      <rPr>
        <i/>
        <sz val="12"/>
        <color theme="1"/>
        <rFont val="Calibri"/>
        <family val="2"/>
        <scheme val="minor"/>
      </rPr>
      <t>Quote</t>
    </r>
    <r>
      <rPr>
        <sz val="12"/>
        <color theme="1"/>
        <rFont val="Calibri"/>
        <family val="2"/>
        <scheme val="minor"/>
      </rPr>
      <t>pour l'afficher.
Vous pouvez également obtenir les prix par article (cliquer sur les onglets "Static $" dans le coin inférieur droit).
Pour réduire les frais d'expédition et d'importation, consultez l'option "Split in 2 Invoices" sur la feuille "Quote".</t>
    </r>
  </si>
  <si>
    <t>Shipped (Internet download)</t>
  </si>
  <si>
    <t>Basic</t>
  </si>
  <si>
    <t>Reg</t>
  </si>
  <si>
    <t>Density</t>
  </si>
  <si>
    <t>Pro</t>
  </si>
  <si>
    <t>Arabidopsis</t>
  </si>
  <si>
    <t>MF</t>
  </si>
  <si>
    <t>Email this quote (the .xls file) to validate it</t>
  </si>
  <si>
    <t xml:space="preserve"> TOTAL</t>
  </si>
  <si>
    <t>System complete names</t>
  </si>
  <si>
    <t>Update price</t>
  </si>
  <si>
    <t>Fedex</t>
  </si>
  <si>
    <t>DAP</t>
  </si>
  <si>
    <t>Euro</t>
  </si>
  <si>
    <t/>
  </si>
  <si>
    <t>sales@regentinstruments.com</t>
  </si>
  <si>
    <t>Korea</t>
  </si>
  <si>
    <t>WarningShippingLA</t>
  </si>
  <si>
    <t>Czech Republic</t>
  </si>
  <si>
    <t>Wire Transfer</t>
  </si>
  <si>
    <t>Product(s)</t>
  </si>
  <si>
    <t>25x19x12</t>
  </si>
  <si>
    <t>Variable pour augmenter les prix par zone:</t>
  </si>
  <si>
    <t>Variable d'augmentation globale:</t>
  </si>
  <si>
    <t>WinSCANOPY System (O-Mount)</t>
  </si>
  <si>
    <t>WinSCANOPY System DSLR (mini Trépied)</t>
  </si>
  <si>
    <t>Column3</t>
  </si>
  <si>
    <t>WinSCANOPY System Mini (mini Trépied)</t>
  </si>
  <si>
    <t>Ratio  DSLR+Trépied / DSLR+O-Mount</t>
  </si>
  <si>
    <t>Ratio  Mini+Trépied / DSLR+Trépied</t>
  </si>
  <si>
    <t>à partir O-Mount</t>
  </si>
  <si>
    <t>Prix estimés en jaune</t>
  </si>
  <si>
    <t>30 juin 2026</t>
  </si>
  <si>
    <t xml:space="preserve">RegentInstr ListeDePrix USD.xlsx US          0.79   1.27          </t>
  </si>
  <si>
    <t>Liste de prix Statique</t>
  </si>
  <si>
    <t>WinDENDRO™ Basic Système STD4800 Avec Scanner</t>
  </si>
  <si>
    <t>WinDENDRO™ Basic Système LA2400 Avec Scanner</t>
  </si>
  <si>
    <t>WinDENDRO™ Basic Système LA2400 Avec Scanner et LS</t>
  </si>
  <si>
    <t>WinDENDRO™ Basic Système Sans Scanner</t>
  </si>
  <si>
    <t>WinDENDRO™ Reg Système STD4800 Avec Scanner</t>
  </si>
  <si>
    <t>WinDENDRO™ Reg Système LA2400 Avec Scanner</t>
  </si>
  <si>
    <t>WinDENDRO™ Reg Système LA2400 Avec Scanner et LS</t>
  </si>
  <si>
    <t>WinDENDRO™ Reg Système Sans Scanner</t>
  </si>
  <si>
    <t>WinDENDRO™ Density Système STD4800 Avec Scanner</t>
  </si>
  <si>
    <t>WinDENDRO™ Density Système LA2400 Avec Scanner</t>
  </si>
  <si>
    <t>WinDENDRO™ Density Système LA2400 Avec Scanner et LS</t>
  </si>
  <si>
    <t>WinDENDRO™ Density Système Sans Scanner</t>
  </si>
  <si>
    <t>Accessoires Optionnels</t>
  </si>
  <si>
    <t>Étalon de réflectance bleue</t>
  </si>
  <si>
    <t>Support pour carottes 22 cm (pour scanners STD &amp; LA)</t>
  </si>
  <si>
    <t>Support pour carottes 36 cm (pour scanners LA seulement)</t>
  </si>
  <si>
    <t>Positionneur de carotte (pour scanner LA seulement)</t>
  </si>
  <si>
    <t>Positionneur de carotte (pour scanner STD seulement)</t>
  </si>
  <si>
    <t>WinRHIZO™ Basic Système STD4800 Avec Scanner</t>
  </si>
  <si>
    <t>WinRHIZO™ Basic Système LA2400 Avec Scanner et LS</t>
  </si>
  <si>
    <t>WinRHIZO™ Basic Système Sans Scanner (STD)</t>
  </si>
  <si>
    <t>WinRHIZO™ Basic Système Sans Scanner (LA)</t>
  </si>
  <si>
    <t>WinRHIZO™ Reg Système STD4800 Avec Scanner</t>
  </si>
  <si>
    <t>WinRHIZO™ Reg Système LA2400 Avec Scanner et LS</t>
  </si>
  <si>
    <t>WinRHIZO™ Reg Système Sans Scanner (STD)</t>
  </si>
  <si>
    <t>WinRHIZO™ Reg Système Sans Scanner (LA)</t>
  </si>
  <si>
    <t>WinRHIZO™ Pro Système STD4800 Avec Scanner</t>
  </si>
  <si>
    <t>WinRHIZO™ Pro Système LA2400 Avec Scanner et LS</t>
  </si>
  <si>
    <t>WinRHIZO™ Pro Système Sans Scanner (STD)</t>
  </si>
  <si>
    <t>WinRHIZO™ Pro Système Sans Scanner (LA)</t>
  </si>
  <si>
    <t>WinRHIZO™ Arabidopsis Système STD4800 Avec Scanner</t>
  </si>
  <si>
    <t>WinRHIZO™ Arabidopsis Système LA2400 Avec Scanner et LS</t>
  </si>
  <si>
    <t>WinRHIZO™ Arabidopsis Système Sans Scanner (STD)</t>
  </si>
  <si>
    <t>WinRHIZO™ Arabidopsis Système Sans Scanner (LA)</t>
  </si>
  <si>
    <t>WinSEEDLE™ Basic Système STD4800 Avec Scanner</t>
  </si>
  <si>
    <t>WinSEEDLE™ Basic Système LA2400 Avec Scanner et LS</t>
  </si>
  <si>
    <t>WinSEEDLE™ Basic Système Sans Scanner (STD)</t>
  </si>
  <si>
    <t>WinSEEDLE™ Basic Système Sans Scanner (LA)</t>
  </si>
  <si>
    <t>WinSEEDLE™ Reg Système STD4800 Avec Scanner</t>
  </si>
  <si>
    <t>WinSEEDLE™ Reg Système LA2400 Avec Scanner et LS</t>
  </si>
  <si>
    <t>WinSEEDLE™ Reg Système Sans Scanner (STD)</t>
  </si>
  <si>
    <t>WinSEEDLE™ Reg Système Sans Scanner (LA)</t>
  </si>
  <si>
    <t>WinSEEDLE™ Pro Système STD4800 Avec Scanner</t>
  </si>
  <si>
    <t>WinSEEDLE™ Pro Système LA2400 Avec Scanner et LS</t>
  </si>
  <si>
    <t>WinSEEDLE™ Pro Système Sans Scanner (STD)</t>
  </si>
  <si>
    <t>WinSEEDLE™ Pro Système Sans Scanner (LA)</t>
  </si>
  <si>
    <t>Accessoires Optionnels pour scanner des Racines &amp; Seedle (WinRHIZO &amp; WinSEEDLE)</t>
  </si>
  <si>
    <t>Ensemble de 2 Petits plats                                    15x20, 20x25 cm</t>
  </si>
  <si>
    <t>Ensemble de 3 Petits plats                                    10x15, 15x20, 20x25 cm</t>
  </si>
  <si>
    <t>Petit plat individuel                                                10x15 cm</t>
  </si>
  <si>
    <t>Petit plat individuel                                                15x20 cm</t>
  </si>
  <si>
    <t>Petit plat individuel                                                20x25 cm</t>
  </si>
  <si>
    <t>Ensemble de 2 Moyens &amp; Larges plats                25x35, 30x40 cm</t>
  </si>
  <si>
    <t>Ensemble de 3 Moyens &amp; Larges plats                20x30, 25x35, 30x40 cm</t>
  </si>
  <si>
    <t>Ensemble 5 Petits Moyens Larges plats              10x15, 15x20, 20x30, 25x35, 30x40 cm</t>
  </si>
  <si>
    <t>Moyen plat individuel                                            20x30 cm</t>
  </si>
  <si>
    <t>Moyen plat individuel                                            25x35 cm</t>
  </si>
  <si>
    <t>Large plat individuel                                               30x40 cm</t>
  </si>
  <si>
    <t>WinFOLIA™ Basic Système STD4800 Avec Scanner</t>
  </si>
  <si>
    <t>WinFOLIA™ Basic Système LA2400 Avec Scanner</t>
  </si>
  <si>
    <t>WinFOLIA™ Basic Système LA2400 Avec Scanner et LS</t>
  </si>
  <si>
    <t>WinFOLIA™ Basic Système Sans Scanner (STD)</t>
  </si>
  <si>
    <t>WinFOLIA™ Basic Système Sans Scanner (LA)</t>
  </si>
  <si>
    <t>WinFOLIA™ Reg Système STD4800 Avec Scanner</t>
  </si>
  <si>
    <t>WinFOLIA™ Reg Système LA2400 Avec Scanner</t>
  </si>
  <si>
    <t>WinFOLIA™ Reg Système LA2400 Avec Scanner et LS</t>
  </si>
  <si>
    <t>WinFOLIA™ Reg Système Sans Scanner (STD)</t>
  </si>
  <si>
    <t>WinFOLIA™ Reg Système Sans Scanner (LA)</t>
  </si>
  <si>
    <t>WinFOLIA™ Pro Système STD4800 Avec Scanner</t>
  </si>
  <si>
    <t>WinFOLIA™ Pro Système LA2400 Avec Scanner</t>
  </si>
  <si>
    <t>WinFOLIA™ Pro Système LA2400 Avec Scanner et LS</t>
  </si>
  <si>
    <t>WinFOLIA™ Pro Système Sans Scanner (STD)</t>
  </si>
  <si>
    <t>WinFOLIA™ Pro Système Sans Scanner (LA)</t>
  </si>
  <si>
    <t>WinFOLIA™ Basic Système LC4800P Avec Scanner</t>
  </si>
  <si>
    <t>WinFOLIA™ Reg Système LC4800P Avec Scanner</t>
  </si>
  <si>
    <t>WinFOLIA™ Pro Système LC4800P Avec Scanner</t>
  </si>
  <si>
    <t>WinFOLIA™ Basic Système Sans Scanner (LC)</t>
  </si>
  <si>
    <t>WinFOLIA™ Reg Système Sans Scanner (LC)</t>
  </si>
  <si>
    <t>WinFOLIA™ Pro Système Sans Scanner (LC)</t>
  </si>
  <si>
    <t>WinCAM™ NDVI Basic Système STD4800 Avec Scanner</t>
  </si>
  <si>
    <t>WinCAM™ NDVI Basic Système LA2400 Avec Scanner</t>
  </si>
  <si>
    <t>WinCAM™ NDVI Basic Système LA2400 Avec Scanner et LS</t>
  </si>
  <si>
    <t>WinCAM™ NDVI Basic Système Sans Scanner (STD)</t>
  </si>
  <si>
    <t>WinCAM™ NDVI Basic Système Sans Scanner (LA)</t>
  </si>
  <si>
    <t>WinCAM™ NDVI Reg Système STD4800 Avec Scanner</t>
  </si>
  <si>
    <t>WinCAM™ NDVI Reg Système LA2400 Avec Scanner</t>
  </si>
  <si>
    <t>WinCAM™ NDVI Reg Système LA2400 Avec Scanner et LS</t>
  </si>
  <si>
    <t>WinCAM™ NDVI Reg Système Sans Scanner (STD)</t>
  </si>
  <si>
    <t>WinCAM™ NDVI Reg Système Sans Scanner (LA)</t>
  </si>
  <si>
    <t>WinCAM™ NDVI Pro Système STD4800 Avec Scanner</t>
  </si>
  <si>
    <t>WinCAM™ NDVI Pro Système LA2400 Avec Scanner</t>
  </si>
  <si>
    <t>WinCAM™ NDVI Pro Système LA2400 Avec Scanner et LS</t>
  </si>
  <si>
    <t>WinCAM™ NDVI Pro Système Sans Scanner (STD)</t>
  </si>
  <si>
    <t>WinCAM™ NDVI Pro Système Sans Scanner (LA)</t>
  </si>
  <si>
    <t>WinCAM™ NDVI Basic Système LC4800P Avec Scanner</t>
  </si>
  <si>
    <t>WinCAM™ NDVI Reg Système LC4800P Avec Scanner</t>
  </si>
  <si>
    <t>WinCAM™ NDVI Pro Système LC4800P Avec Scanner</t>
  </si>
  <si>
    <t>WinCAM™ NDVI Basic Système Sans Scanner (LC)</t>
  </si>
  <si>
    <t>WinCAM™ NDVI Reg Système Sans Scanner (LC)</t>
  </si>
  <si>
    <t>WinCAM™ NDVI Pro Système Sans Scanner (LC)</t>
  </si>
  <si>
    <t>Accessoires Optionnels pour scanner des Feuilles &amp; Objets (WinFOLIA &amp; WinCAM)</t>
  </si>
  <si>
    <t>PICK* 12" x 16" Incl. 1 Presse-feuille Bleu, 1 Blanc &amp; Cibles d'Étalonnage</t>
  </si>
  <si>
    <t>PICK* 18" x 24" Incl. 1 Presse-feuille Bleu, 1 Blanc &amp; Cibles d'Étalonnage</t>
  </si>
  <si>
    <t>Fond Bleu pour Analyse Couleur pour Scanner STD</t>
  </si>
  <si>
    <t>Fond Bleu pour Analyse Couleur pour Scanner LA</t>
  </si>
  <si>
    <t>Fond Bleu pour Analyse Couleur pour Scanner LC</t>
  </si>
  <si>
    <t>WinSCANOPY™ Mini Système 24 MP Mini avec Mini Trépied et Base à mise à niveau manuelle</t>
  </si>
  <si>
    <t>WinSCANOPY™ Reg Système 24 MP DSLR avec Mini Trépied et Base à mise à niveau manuelle</t>
  </si>
  <si>
    <t>WinSCANOPY™ Pro Système 24 MP DSLR avec Mini Trépied et Base à mise à niveau manuelle</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</si>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</sst>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0_-;\-* #,##0_-;_-* &quot;-&quot;_-;_-@_-"/>
    <numFmt numFmtId="165" formatCode="_-&quot;$&quot;* #,##0.00_-;\-&quot;$&quot;* #,##0.00_-;_-&quot;$&quot;* &quot;-&quot;??_-;_-@_-"/>
    <numFmt numFmtId="166" formatCode="_-* #,##0.00_-;\-* #,##0.00_-;_-* &quot;-&quot;??_-;_-@_-"/>
    <numFmt numFmtId="167" formatCode="_-[$CAD]\ * #,##0_-;\-[$CAD]\ * #,##0_-;_-[$CAD]\ * &quot;-&quot;??_-;_-@_-"/>
    <numFmt numFmtId="168" formatCode="_-* #,##0_-;\-* #,##0_-;_-* &quot;-&quot;??_-;_-@_-"/>
    <numFmt numFmtId="169" formatCode="0\ &quot;each&quot;"/>
    <numFmt numFmtId="171" formatCode="yyyy\ mmm\ dd"/>
    <numFmt numFmtId="172" formatCode="[$-1009]mmmm\ d\,\ yyyy;@"/>
    <numFmt numFmtId="173" formatCode="#,##0.00_-"/>
    <numFmt numFmtId="174" formatCode="0&quot;*&quot;"/>
    <numFmt numFmtId="175" formatCode="0.0"/>
    <numFmt numFmtId="176" formatCode="[$-C0C]d\ mmmm\ yyyy"/>
    <numFmt numFmtId="177" formatCode="0.00\ &quot;lbs&quot;"/>
    <numFmt numFmtId="178" formatCode="0.00\ &quot;kg&quot;"/>
    <numFmt numFmtId="179" formatCode="0.0\ &quot;kg&quot;"/>
    <numFmt numFmtId="180" formatCode="0.0\ &quot;lbs&quot;"/>
  </numFmts>
  <fonts count="143"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Calibri"/>
      <family val="2"/>
      <scheme val="minor"/>
    </font>
    <font>
      <sz val="10"/>
      <color rgb="FFC00000"/>
      <name val="Calibri"/>
      <family val="2"/>
      <scheme val="minor"/>
    </font>
    <font>
      <sz val="10"/>
      <color rgb="FFFF0000"/>
      <name val="Calibri"/>
      <family val="2"/>
      <scheme val="minor"/>
    </font>
    <font>
      <sz val="10"/>
      <color theme="4" tint="-0.249977111117893"/>
      <name val="Calibri"/>
      <family val="2"/>
      <scheme val="minor"/>
    </font>
    <font>
      <sz val="10"/>
      <color indexed="8"/>
      <name val="Calibri"/>
      <family val="2"/>
      <scheme val="minor"/>
    </font>
    <font>
      <sz val="10"/>
      <name val="Calibri"/>
      <family val="2"/>
      <scheme val="minor"/>
    </font>
    <font>
      <sz val="12"/>
      <color rgb="FFFF0000"/>
      <name val="Calibri"/>
      <family val="2"/>
      <scheme val="minor"/>
    </font>
    <font>
      <sz val="12"/>
      <color theme="1"/>
      <name val="Calibri"/>
      <family val="2"/>
      <scheme val="minor"/>
    </font>
    <font>
      <b/>
      <sz val="12"/>
      <color theme="1"/>
      <name val="Calibri"/>
      <family val="2"/>
      <scheme val="minor"/>
    </font>
    <font>
      <sz val="10"/>
      <color theme="0" tint="-0.499984740745262"/>
      <name val="Calibri"/>
      <family val="2"/>
      <scheme val="minor"/>
    </font>
    <font>
      <sz val="12"/>
      <color rgb="FF0070C0"/>
      <name val="Calibri"/>
      <family val="2"/>
      <scheme val="minor"/>
    </font>
    <font>
      <sz val="12"/>
      <color theme="0" tint="-0.249977111117893"/>
      <name val="Calibri"/>
      <family val="2"/>
      <scheme val="minor"/>
    </font>
    <font>
      <sz val="10"/>
      <color theme="1"/>
      <name val="Calibri (Body)"/>
    </font>
    <font>
      <sz val="8"/>
      <name val="Calibri"/>
      <family val="2"/>
      <scheme val="minor"/>
    </font>
    <font>
      <sz val="12"/>
      <name val="Calibri"/>
      <family val="2"/>
      <scheme val="minor"/>
    </font>
    <font>
      <sz val="24"/>
      <name val="Calibri"/>
      <family val="2"/>
      <scheme val="minor"/>
    </font>
    <font>
      <b/>
      <u/>
      <sz val="12"/>
      <color theme="1"/>
      <name val="Calibri"/>
      <family val="2"/>
      <scheme val="minor"/>
    </font>
    <font>
      <b/>
      <sz val="11"/>
      <color rgb="FF00B050"/>
      <name val="Calibri"/>
      <family val="2"/>
      <scheme val="minor"/>
    </font>
    <font>
      <sz val="11"/>
      <color rgb="FF0070C0"/>
      <name val="Calibri"/>
      <family val="2"/>
      <scheme val="minor"/>
    </font>
    <font>
      <sz val="11"/>
      <color rgb="FF00B050"/>
      <name val="Calibri"/>
      <family val="2"/>
      <scheme val="minor"/>
    </font>
    <font>
      <b/>
      <sz val="10"/>
      <color theme="1"/>
      <name val="Calibri"/>
      <family val="2"/>
      <scheme val="minor"/>
    </font>
    <font>
      <b/>
      <sz val="10"/>
      <color theme="4" tint="-0.249977111117893"/>
      <name val="Calibri"/>
      <family val="2"/>
      <scheme val="minor"/>
    </font>
    <font>
      <b/>
      <sz val="24"/>
      <color rgb="FF0070C0"/>
      <name val="Calibri"/>
      <family val="2"/>
      <scheme val="minor"/>
    </font>
    <font>
      <b/>
      <sz val="16"/>
      <color theme="4" tint="-0.249977111117893"/>
      <name val="Calibri"/>
      <family val="2"/>
      <scheme val="minor"/>
    </font>
    <font>
      <sz val="9"/>
      <color rgb="FFFF0000"/>
      <name val="Tahoma"/>
      <family val="2"/>
    </font>
    <font>
      <b/>
      <sz val="12"/>
      <color theme="4" tint="-0.249977111117893"/>
      <name val="Calibri"/>
      <family val="2"/>
      <scheme val="minor"/>
    </font>
    <font>
      <b/>
      <sz val="12"/>
      <color rgb="FFFF0000"/>
      <name val="Calibri"/>
      <family val="2"/>
      <scheme val="minor"/>
    </font>
    <font>
      <sz val="8"/>
      <color theme="1"/>
      <name val="Calibri"/>
      <family val="2"/>
      <scheme val="minor"/>
    </font>
    <font>
      <b/>
      <sz val="24"/>
      <color theme="0"/>
      <name val="Calibri"/>
      <family val="2"/>
      <scheme val="minor"/>
    </font>
    <font>
      <sz val="12"/>
      <color theme="0"/>
      <name val="Calibri"/>
      <family val="2"/>
      <scheme val="minor"/>
    </font>
    <font>
      <b/>
      <sz val="11"/>
      <color theme="4" tint="-0.249977111117893"/>
      <name val="Calibri"/>
      <family val="2"/>
      <scheme val="minor"/>
    </font>
    <font>
      <u/>
      <sz val="12"/>
      <color theme="10"/>
      <name val="Calibri"/>
      <family val="2"/>
      <scheme val="minor"/>
    </font>
    <font>
      <u/>
      <sz val="12"/>
      <color rgb="FF0070C0"/>
      <name val="Calibri"/>
      <family val="2"/>
      <scheme val="minor"/>
    </font>
    <font>
      <sz val="7"/>
      <color theme="1"/>
      <name val="Calibri"/>
      <family val="2"/>
      <scheme val="minor"/>
    </font>
    <font>
      <b/>
      <sz val="9"/>
      <color theme="1"/>
      <name val="Calibri"/>
      <family val="2"/>
      <scheme val="minor"/>
    </font>
    <font>
      <sz val="9"/>
      <color theme="1"/>
      <name val="Calibri"/>
      <family val="2"/>
      <scheme val="minor"/>
    </font>
    <font>
      <b/>
      <sz val="16"/>
      <color rgb="FF0C897A"/>
      <name val="Arial"/>
      <family val="2"/>
    </font>
    <font>
      <b/>
      <sz val="8"/>
      <color theme="1"/>
      <name val="Calibri"/>
      <family val="2"/>
      <scheme val="minor"/>
    </font>
    <font>
      <sz val="9"/>
      <name val="Calibri"/>
      <family val="2"/>
      <scheme val="minor"/>
    </font>
    <font>
      <b/>
      <sz val="11"/>
      <color theme="1"/>
      <name val="Calibri"/>
      <family val="2"/>
      <scheme val="minor"/>
    </font>
    <font>
      <sz val="7.5"/>
      <color theme="1"/>
      <name val="Calibri"/>
      <family val="2"/>
      <scheme val="minor"/>
    </font>
    <font>
      <b/>
      <sz val="16"/>
      <name val="Calibri"/>
      <family val="2"/>
      <scheme val="minor"/>
    </font>
    <font>
      <b/>
      <sz val="16"/>
      <color rgb="FF1185EF"/>
      <name val="Arial"/>
      <family val="2"/>
    </font>
    <font>
      <b/>
      <sz val="14"/>
      <color rgb="FF1185EF"/>
      <name val="Calibri"/>
      <family val="2"/>
      <scheme val="minor"/>
    </font>
    <font>
      <b/>
      <sz val="14"/>
      <color rgb="FF1185EF"/>
      <name val="Arial"/>
      <family val="2"/>
    </font>
    <font>
      <sz val="11.5"/>
      <color theme="1"/>
      <name val="Calibri"/>
      <family val="2"/>
      <scheme val="minor"/>
    </font>
    <font>
      <sz val="7"/>
      <color theme="1" tint="0.499984740745262"/>
      <name val="Calibri"/>
      <family val="2"/>
      <scheme val="minor"/>
    </font>
    <font>
      <i/>
      <sz val="20"/>
      <color theme="1"/>
      <name val="Calibri"/>
      <family val="2"/>
      <scheme val="minor"/>
    </font>
    <font>
      <sz val="12"/>
      <color rgb="FF00B050"/>
      <name val="Calibri (Body)"/>
    </font>
    <font>
      <b/>
      <sz val="18"/>
      <color theme="0"/>
      <name val="Calibri"/>
      <family val="2"/>
      <scheme val="minor"/>
    </font>
    <font>
      <b/>
      <sz val="18"/>
      <name val="Calibri"/>
      <family val="2"/>
      <scheme val="minor"/>
    </font>
    <font>
      <b/>
      <sz val="14"/>
      <name val="Calibri"/>
      <family val="2"/>
      <scheme val="minor"/>
    </font>
    <font>
      <b/>
      <sz val="24"/>
      <name val="Calibri"/>
      <family val="2"/>
      <scheme val="minor"/>
    </font>
    <font>
      <b/>
      <sz val="13"/>
      <name val="Calibri"/>
      <family val="2"/>
      <scheme val="minor"/>
    </font>
    <font>
      <sz val="10"/>
      <color theme="0"/>
      <name val="Calibri"/>
      <family val="2"/>
      <scheme val="minor"/>
    </font>
    <font>
      <sz val="16"/>
      <color theme="0"/>
      <name val="Calibri"/>
      <family val="2"/>
      <scheme val="minor"/>
    </font>
    <font>
      <sz val="14"/>
      <name val="Calibri Light"/>
      <family val="2"/>
      <scheme val="major"/>
    </font>
    <font>
      <b/>
      <i/>
      <sz val="12"/>
      <color rgb="FFC00000"/>
      <name val="Calibri"/>
      <family val="2"/>
      <scheme val="minor"/>
    </font>
    <font>
      <sz val="9"/>
      <color indexed="81"/>
      <name val="Tahoma"/>
      <family val="2"/>
    </font>
    <font>
      <b/>
      <sz val="9"/>
      <color indexed="81"/>
      <name val="Tahoma"/>
      <family val="2"/>
    </font>
    <font>
      <sz val="72"/>
      <color theme="1"/>
      <name val="Calibri"/>
      <family val="2"/>
      <scheme val="minor"/>
    </font>
    <font>
      <sz val="11"/>
      <name val="Calibri"/>
      <family val="2"/>
      <scheme val="minor"/>
    </font>
    <font>
      <b/>
      <sz val="12"/>
      <name val="Calibri"/>
      <family val="2"/>
      <scheme val="minor"/>
    </font>
    <font>
      <b/>
      <sz val="15"/>
      <name val="Calibri"/>
      <family val="2"/>
      <scheme val="minor"/>
    </font>
    <font>
      <i/>
      <sz val="12"/>
      <name val="Calibri"/>
      <family val="2"/>
      <scheme val="minor"/>
    </font>
    <font>
      <sz val="7.5"/>
      <color theme="0" tint="-0.249977111117893"/>
      <name val="Calibri"/>
      <family val="2"/>
      <scheme val="minor"/>
    </font>
    <font>
      <sz val="7.5"/>
      <color theme="0" tint="-0.34998626667073579"/>
      <name val="Calibri"/>
      <family val="2"/>
      <scheme val="minor"/>
    </font>
    <font>
      <sz val="7"/>
      <color theme="0" tint="-0.34998626667073579"/>
      <name val="Calibri"/>
      <family val="2"/>
      <scheme val="minor"/>
    </font>
    <font>
      <sz val="7"/>
      <name val="Calibri"/>
      <family val="2"/>
      <scheme val="minor"/>
    </font>
    <font>
      <sz val="12"/>
      <color rgb="FF000000"/>
      <name val="Calibri"/>
      <family val="2"/>
    </font>
    <font>
      <sz val="11"/>
      <color rgb="FF000000"/>
      <name val="Calibri"/>
      <family val="2"/>
    </font>
    <font>
      <sz val="10"/>
      <color theme="0" tint="-0.249977111117893"/>
      <name val="Calibri"/>
      <family val="2"/>
      <scheme val="minor"/>
    </font>
    <font>
      <b/>
      <sz val="24"/>
      <color theme="0" tint="-4.9989318521683403E-2"/>
      <name val="Calibri"/>
      <family val="2"/>
      <scheme val="minor"/>
    </font>
    <font>
      <b/>
      <i/>
      <sz val="11.5"/>
      <color rgb="FFC00000"/>
      <name val="Calibri"/>
      <family val="2"/>
      <scheme val="minor"/>
    </font>
    <font>
      <i/>
      <sz val="12"/>
      <color rgb="FFC00000"/>
      <name val="Calibri"/>
      <family val="2"/>
      <scheme val="minor"/>
    </font>
    <font>
      <i/>
      <sz val="11"/>
      <color rgb="FFC00000"/>
      <name val="Calibri"/>
      <family val="2"/>
      <scheme val="minor"/>
    </font>
    <font>
      <b/>
      <sz val="14"/>
      <color theme="1"/>
      <name val="Calibri"/>
      <family val="2"/>
      <scheme val="minor"/>
    </font>
    <font>
      <sz val="10.5"/>
      <color theme="1"/>
      <name val="Calibri"/>
      <family val="2"/>
      <scheme val="minor"/>
    </font>
    <font>
      <sz val="14"/>
      <color theme="1"/>
      <name val="Calibri"/>
      <family val="2"/>
      <scheme val="minor"/>
    </font>
    <font>
      <b/>
      <i/>
      <sz val="11"/>
      <color theme="1"/>
      <name val="Calibri"/>
      <family val="2"/>
      <scheme val="minor"/>
    </font>
    <font>
      <b/>
      <sz val="28"/>
      <color theme="1"/>
      <name val="Calibri"/>
      <family val="2"/>
      <scheme val="minor"/>
    </font>
    <font>
      <b/>
      <sz val="16"/>
      <color rgb="FFFF0000"/>
      <name val="Calibri"/>
      <family val="2"/>
      <scheme val="minor"/>
    </font>
    <font>
      <b/>
      <u/>
      <sz val="10"/>
      <name val="Calibri"/>
      <family val="2"/>
      <scheme val="minor"/>
    </font>
    <font>
      <b/>
      <u/>
      <sz val="12"/>
      <name val="Calibri"/>
      <family val="2"/>
      <scheme val="minor"/>
    </font>
    <font>
      <sz val="11"/>
      <color theme="1"/>
      <name val="Calibri (Body)"/>
    </font>
    <font>
      <b/>
      <sz val="10"/>
      <color rgb="FF0070C0"/>
      <name val="Calibri"/>
      <family val="2"/>
      <scheme val="minor"/>
    </font>
    <font>
      <b/>
      <sz val="13"/>
      <color rgb="FF00B050"/>
      <name val="Calibri (Body)"/>
    </font>
    <font>
      <sz val="13"/>
      <color rgb="FF00B050"/>
      <name val="Calibri (Body)"/>
    </font>
    <font>
      <b/>
      <sz val="13"/>
      <color rgb="FFC00000"/>
      <name val="Calibri (Body)"/>
    </font>
    <font>
      <b/>
      <vertAlign val="superscript"/>
      <sz val="13"/>
      <color rgb="FF00B050"/>
      <name val="Calibri (Body)"/>
    </font>
    <font>
      <b/>
      <sz val="13"/>
      <color rgb="FFFF0000"/>
      <name val="Calibri (Body)"/>
    </font>
    <font>
      <b/>
      <vertAlign val="superscript"/>
      <sz val="13"/>
      <color rgb="FFFF0000"/>
      <name val="Calibri (Body)"/>
    </font>
    <font>
      <b/>
      <vertAlign val="superscript"/>
      <sz val="13"/>
      <color rgb="FFC00000"/>
      <name val="Calibri (Body)"/>
    </font>
    <font>
      <b/>
      <i/>
      <sz val="20"/>
      <color rgb="FF1185EF"/>
      <name val="Calibri (Body)"/>
    </font>
    <font>
      <b/>
      <sz val="11"/>
      <color rgb="FFC00000"/>
      <name val="Calibri"/>
      <family val="2"/>
      <scheme val="minor"/>
    </font>
    <font>
      <sz val="12"/>
      <color rgb="FF00B050"/>
      <name val="Calibri"/>
      <family val="2"/>
      <scheme val="minor"/>
    </font>
    <font>
      <b/>
      <sz val="9"/>
      <name val="Calibri"/>
      <family val="2"/>
      <scheme val="minor"/>
    </font>
    <font>
      <b/>
      <sz val="11"/>
      <name val="Calibri"/>
      <family val="2"/>
      <scheme val="minor"/>
    </font>
    <font>
      <sz val="12"/>
      <color theme="7" tint="-0.499984740745262"/>
      <name val="Calibri"/>
      <family val="2"/>
      <scheme val="minor"/>
    </font>
    <font>
      <b/>
      <sz val="12"/>
      <color theme="9"/>
      <name val="Calibri (Body)"/>
    </font>
    <font>
      <b/>
      <sz val="12"/>
      <color theme="7" tint="-0.499984740745262"/>
      <name val="Calibri"/>
      <family val="2"/>
      <scheme val="minor"/>
    </font>
    <font>
      <sz val="12"/>
      <color theme="1"/>
      <name val="Calibri (Body)"/>
    </font>
    <font>
      <sz val="12"/>
      <color rgb="FF0070C0"/>
      <name val="Calibri (Body)"/>
    </font>
    <font>
      <b/>
      <sz val="10"/>
      <color rgb="FFFF0000"/>
      <name val="Calibri"/>
      <family val="2"/>
      <scheme val="minor"/>
    </font>
    <font>
      <sz val="15"/>
      <name val="Calibri"/>
      <family val="2"/>
      <scheme val="minor"/>
    </font>
    <font>
      <sz val="12"/>
      <color theme="1"/>
      <name val="Calibri"/>
      <family val="2"/>
    </font>
    <font>
      <sz val="12"/>
      <color rgb="FF0070C0"/>
      <name val="Calibri"/>
      <family val="2"/>
    </font>
    <font>
      <sz val="6"/>
      <color theme="1"/>
      <name val="Calibri"/>
      <family val="2"/>
      <scheme val="minor"/>
    </font>
    <font>
      <i/>
      <sz val="12"/>
      <color theme="1"/>
      <name val="Calibri"/>
      <family val="2"/>
      <scheme val="minor"/>
    </font>
    <font>
      <u/>
      <sz val="9"/>
      <color indexed="81"/>
      <name val="Tahoma"/>
      <family val="2"/>
    </font>
    <font>
      <sz val="9"/>
      <color indexed="39"/>
      <name val="Tahoma"/>
      <family val="2"/>
    </font>
    <font>
      <i/>
      <sz val="9"/>
      <color indexed="39"/>
      <name val="Tahoma"/>
      <family val="2"/>
    </font>
    <font>
      <b/>
      <sz val="9"/>
      <color indexed="39"/>
      <name val="Tahoma"/>
      <family val="2"/>
    </font>
    <font>
      <i/>
      <sz val="10"/>
      <color rgb="FFC00000"/>
      <name val="Calibri"/>
      <family val="2"/>
      <scheme val="minor"/>
    </font>
    <font>
      <b/>
      <sz val="16"/>
      <color theme="1"/>
      <name val="Calibri"/>
      <family val="2"/>
      <scheme val="minor"/>
    </font>
    <font>
      <sz val="10"/>
      <color rgb="FF0070C0"/>
      <name val="Calibri"/>
      <family val="2"/>
      <scheme val="minor"/>
    </font>
    <font>
      <b/>
      <sz val="11"/>
      <color rgb="FF0070C0"/>
      <name val="Calibri (Body)"/>
    </font>
    <font>
      <b/>
      <sz val="8.5"/>
      <name val="Calibri"/>
      <family val="2"/>
      <scheme val="minor"/>
    </font>
    <font>
      <sz val="11"/>
      <color rgb="FF00B050"/>
      <name val="Calibri (Body)"/>
    </font>
    <font>
      <sz val="12"/>
      <color theme="2" tint="-0.249977111117893"/>
      <name val="Calibri"/>
      <family val="2"/>
      <scheme val="minor"/>
    </font>
    <font>
      <u/>
      <sz val="10"/>
      <name val="Calibri"/>
      <family val="2"/>
      <scheme val="minor"/>
    </font>
    <font>
      <sz val="12"/>
      <name val="Calibri (Body)"/>
    </font>
    <font>
      <sz val="8.5"/>
      <color theme="1"/>
      <name val="Calibri"/>
      <family val="2"/>
      <scheme val="minor"/>
    </font>
    <font>
      <b/>
      <sz val="16"/>
      <color indexed="10"/>
      <name val="Calibri"/>
      <family val="2"/>
      <scheme val="minor"/>
    </font>
    <font>
      <i/>
      <sz val="10"/>
      <color theme="1"/>
      <name val="Calibri"/>
      <family val="2"/>
      <scheme val="minor"/>
    </font>
    <font>
      <b/>
      <sz val="12"/>
      <color rgb="FFC00000"/>
      <name val="Calibri"/>
      <family val="2"/>
      <scheme val="minor"/>
    </font>
    <font>
      <sz val="12"/>
      <color theme="3"/>
      <name val="Calibri"/>
      <family val="2"/>
      <scheme val="minor"/>
    </font>
    <font>
      <sz val="14"/>
      <color theme="0"/>
      <name val="Calibri"/>
      <family val="2"/>
      <scheme val="minor"/>
    </font>
    <font>
      <u/>
      <sz val="10"/>
      <color theme="10"/>
      <name val="Calibri"/>
      <family val="2"/>
      <scheme val="minor"/>
    </font>
    <font>
      <sz val="16"/>
      <color theme="1"/>
      <name val="Calibri"/>
      <family val="2"/>
      <scheme val="minor"/>
    </font>
    <font>
      <sz val="10"/>
      <color theme="1"/>
      <name val="Calibri"/>
      <family val="2"/>
      <scheme val="minor"/>
    </font>
    <font>
      <sz val="8"/>
      <color rgb="FF000000"/>
      <name val="Segoe UI"/>
      <charset val="1"/>
    </font>
  </fonts>
  <fills count="56">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FFFF00"/>
        <bgColor indexed="64"/>
      </patternFill>
    </fill>
    <fill>
      <patternFill patternType="solid">
        <fgColor rgb="FFFFC2C1"/>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FF0000"/>
        <bgColor indexed="64"/>
      </patternFill>
    </fill>
    <fill>
      <patternFill patternType="solid">
        <fgColor rgb="FF92D050"/>
        <bgColor indexed="64"/>
      </patternFill>
    </fill>
    <fill>
      <patternFill patternType="solid">
        <fgColor rgb="FFDCAEFF"/>
        <bgColor indexed="64"/>
      </patternFill>
    </fill>
    <fill>
      <patternFill patternType="solid">
        <fgColor rgb="FFE5C19D"/>
        <bgColor indexed="64"/>
      </patternFill>
    </fill>
    <fill>
      <patternFill patternType="solid">
        <fgColor rgb="FFAEDCC3"/>
        <bgColor indexed="64"/>
      </patternFill>
    </fill>
    <fill>
      <patternFill patternType="solid">
        <fgColor rgb="FFFFDFAA"/>
        <bgColor indexed="64"/>
      </patternFill>
    </fill>
    <fill>
      <patternFill patternType="solid">
        <fgColor rgb="FFD5E9FC"/>
        <bgColor indexed="64"/>
      </patternFill>
    </fill>
    <fill>
      <patternFill patternType="solid">
        <fgColor rgb="FFFFF9BA"/>
        <bgColor indexed="64"/>
      </patternFill>
    </fill>
    <fill>
      <patternFill patternType="solid">
        <fgColor rgb="FFEAEF8D"/>
        <bgColor indexed="64"/>
      </patternFill>
    </fill>
    <fill>
      <patternFill patternType="solid">
        <fgColor theme="0"/>
        <bgColor indexed="64"/>
      </patternFill>
    </fill>
    <fill>
      <patternFill patternType="solid">
        <fgColor rgb="FFB4D9FA"/>
        <bgColor indexed="64"/>
      </patternFill>
    </fill>
    <fill>
      <patternFill patternType="solid">
        <fgColor rgb="FFDBEDFD"/>
        <bgColor indexed="64"/>
      </patternFill>
    </fill>
    <fill>
      <patternFill patternType="solid">
        <fgColor rgb="FFF2F2F2"/>
        <bgColor indexed="64"/>
      </patternFill>
    </fill>
    <fill>
      <patternFill patternType="solid">
        <fgColor theme="4" tint="-0.499984740745262"/>
        <bgColor indexed="64"/>
      </patternFill>
    </fill>
    <fill>
      <patternFill patternType="solid">
        <fgColor theme="9" tint="-0.249977111117893"/>
        <bgColor theme="9" tint="-0.249977111117893"/>
      </patternFill>
    </fill>
    <fill>
      <patternFill patternType="solid">
        <fgColor theme="9"/>
        <bgColor theme="9"/>
      </patternFill>
    </fill>
    <fill>
      <patternFill patternType="solid">
        <fgColor rgb="FFC00000"/>
        <bgColor indexed="64"/>
      </patternFill>
    </fill>
    <fill>
      <patternFill patternType="solid">
        <fgColor theme="7"/>
        <bgColor indexed="64"/>
      </patternFill>
    </fill>
    <fill>
      <patternFill patternType="solid">
        <fgColor rgb="FF00B050"/>
        <bgColor indexed="64"/>
      </patternFill>
    </fill>
    <fill>
      <patternFill patternType="solid">
        <fgColor theme="9"/>
        <bgColor indexed="64"/>
      </patternFill>
    </fill>
    <fill>
      <patternFill patternType="solid">
        <fgColor theme="1" tint="0.34998626667073579"/>
        <bgColor indexed="64"/>
      </patternFill>
    </fill>
    <fill>
      <patternFill patternType="solid">
        <fgColor rgb="FF002060"/>
        <bgColor indexed="64"/>
      </patternFill>
    </fill>
    <fill>
      <patternFill patternType="solid">
        <fgColor theme="8" tint="-0.499984740745262"/>
        <bgColor indexed="64"/>
      </patternFill>
    </fill>
    <fill>
      <patternFill patternType="solid">
        <fgColor theme="8" tint="0.39997558519241921"/>
        <bgColor indexed="64"/>
      </patternFill>
    </fill>
    <fill>
      <patternFill patternType="solid">
        <fgColor rgb="FFFFFFC8"/>
        <bgColor indexed="64"/>
      </patternFill>
    </fill>
    <fill>
      <patternFill patternType="solid">
        <fgColor theme="4" tint="0.59999389629810485"/>
        <bgColor indexed="64"/>
      </patternFill>
    </fill>
    <fill>
      <patternFill patternType="solid">
        <fgColor theme="8" tint="-0.249977111117893"/>
        <bgColor indexed="64"/>
      </patternFill>
    </fill>
    <fill>
      <patternFill patternType="solid">
        <fgColor theme="1" tint="0.14999847407452621"/>
        <bgColor indexed="64"/>
      </patternFill>
    </fill>
    <fill>
      <patternFill patternType="solid">
        <fgColor theme="3" tint="-0.249977111117893"/>
        <bgColor indexed="64"/>
      </patternFill>
    </fill>
    <fill>
      <patternFill patternType="solid">
        <fgColor theme="6" tint="-0.249977111117893"/>
        <bgColor indexed="64"/>
      </patternFill>
    </fill>
    <fill>
      <patternFill patternType="solid">
        <fgColor theme="0" tint="-0.499984740745262"/>
        <bgColor indexed="64"/>
      </patternFill>
    </fill>
    <fill>
      <patternFill patternType="solid">
        <fgColor theme="9" tint="-0.499984740745262"/>
        <bgColor indexed="64"/>
      </patternFill>
    </fill>
    <fill>
      <patternFill patternType="solid">
        <fgColor rgb="FF00B0F0"/>
        <bgColor indexed="64"/>
      </patternFill>
    </fill>
    <fill>
      <patternFill patternType="solid">
        <fgColor theme="5" tint="-0.249977111117893"/>
        <bgColor indexed="64"/>
      </patternFill>
    </fill>
    <fill>
      <patternFill patternType="solid">
        <fgColor theme="4"/>
        <bgColor indexed="64"/>
      </patternFill>
    </fill>
    <fill>
      <patternFill patternType="solid">
        <fgColor theme="7" tint="0.39997558519241921"/>
        <bgColor indexed="64"/>
      </patternFill>
    </fill>
    <fill>
      <patternFill patternType="solid">
        <fgColor theme="2" tint="-0.499984740745262"/>
        <bgColor indexed="64"/>
      </patternFill>
    </fill>
    <fill>
      <patternFill patternType="solid">
        <fgColor theme="0" tint="-0.249977111117893"/>
        <bgColor indexed="64"/>
      </patternFill>
    </fill>
    <fill>
      <patternFill patternType="solid">
        <fgColor rgb="FFFF00FF"/>
        <bgColor indexed="64"/>
      </patternFill>
    </fill>
    <fill>
      <patternFill patternType="solid">
        <fgColor theme="7" tint="-0.499984740745262"/>
        <bgColor indexed="64"/>
      </patternFill>
    </fill>
    <fill>
      <patternFill patternType="solid">
        <fgColor rgb="FFFFC000"/>
        <bgColor indexed="64"/>
      </patternFill>
    </fill>
    <fill>
      <patternFill patternType="solid">
        <fgColor rgb="FF7030A0"/>
        <bgColor indexed="64"/>
      </patternFill>
    </fill>
    <fill>
      <patternFill patternType="solid">
        <fgColor theme="1" tint="0.249977111117893"/>
        <bgColor indexed="64"/>
      </patternFill>
    </fill>
    <fill>
      <patternFill patternType="solid">
        <fgColor theme="9" tint="0.59999389629810485"/>
        <bgColor indexed="64"/>
      </patternFill>
    </fill>
    <fill>
      <patternFill patternType="solid">
        <fgColor theme="9" tint="-0.249977111117893"/>
        <bgColor indexed="64"/>
      </patternFill>
    </fill>
  </fills>
  <borders count="7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rgb="FFBDD9CA"/>
      </left>
      <right/>
      <top/>
      <bottom/>
      <diagonal/>
    </border>
    <border>
      <left/>
      <right style="thin">
        <color rgb="FF1185EF"/>
      </right>
      <top style="thin">
        <color rgb="FF1185EF"/>
      </top>
      <bottom/>
      <diagonal/>
    </border>
    <border>
      <left/>
      <right style="thin">
        <color rgb="FF1185EF"/>
      </right>
      <top/>
      <bottom/>
      <diagonal/>
    </border>
    <border>
      <left/>
      <right style="thin">
        <color rgb="FF1185EF"/>
      </right>
      <top/>
      <bottom style="thin">
        <color rgb="FF1185EF"/>
      </bottom>
      <diagonal/>
    </border>
    <border>
      <left style="thin">
        <color rgb="FF1185EF"/>
      </left>
      <right style="thin">
        <color rgb="FF1185EF"/>
      </right>
      <top style="thin">
        <color rgb="FF1185EF"/>
      </top>
      <bottom/>
      <diagonal/>
    </border>
    <border>
      <left style="thin">
        <color rgb="FF1185EF"/>
      </left>
      <right style="thin">
        <color rgb="FF1185EF"/>
      </right>
      <top/>
      <bottom/>
      <diagonal/>
    </border>
    <border>
      <left style="thin">
        <color rgb="FF1185EF"/>
      </left>
      <right style="thin">
        <color rgb="FF1185EF"/>
      </right>
      <top/>
      <bottom style="thin">
        <color rgb="FF1185EF"/>
      </bottom>
      <diagonal/>
    </border>
    <border>
      <left style="thin">
        <color rgb="FF1185EF"/>
      </left>
      <right/>
      <top style="thin">
        <color rgb="FF1185EF"/>
      </top>
      <bottom/>
      <diagonal/>
    </border>
    <border>
      <left style="thin">
        <color rgb="FF1185EF"/>
      </left>
      <right/>
      <top/>
      <bottom/>
      <diagonal/>
    </border>
    <border>
      <left style="thin">
        <color rgb="FF1185EF"/>
      </left>
      <right/>
      <top/>
      <bottom style="thin">
        <color rgb="FF1185EF"/>
      </bottom>
      <diagonal/>
    </border>
    <border>
      <left/>
      <right/>
      <top style="thin">
        <color rgb="FF1185EF"/>
      </top>
      <bottom/>
      <diagonal/>
    </border>
    <border>
      <left/>
      <right/>
      <top/>
      <bottom style="thin">
        <color rgb="FF1185EF"/>
      </bottom>
      <diagonal/>
    </border>
    <border>
      <left style="thin">
        <color rgb="FFB4D9FA"/>
      </left>
      <right/>
      <top/>
      <bottom style="thin">
        <color rgb="FF1185EF"/>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2" tint="-9.9978637043366805E-2"/>
      </left>
      <right style="thin">
        <color theme="2" tint="-9.9978637043366805E-2"/>
      </right>
      <top style="thin">
        <color theme="2" tint="-9.9978637043366805E-2"/>
      </top>
      <bottom style="thin">
        <color theme="2" tint="-9.9917600024414813E-2"/>
      </bottom>
      <diagonal/>
    </border>
    <border>
      <left/>
      <right style="thin">
        <color theme="2" tint="-9.9978637043366805E-2"/>
      </right>
      <top/>
      <bottom/>
      <diagonal/>
    </border>
    <border>
      <left/>
      <right/>
      <top/>
      <bottom style="thin">
        <color theme="2" tint="-9.9978637043366805E-2"/>
      </bottom>
      <diagonal/>
    </border>
    <border>
      <left/>
      <right/>
      <top style="thin">
        <color theme="0" tint="-0.14999847407452621"/>
      </top>
      <bottom/>
      <diagonal/>
    </border>
    <border>
      <left/>
      <right/>
      <top/>
      <bottom style="thin">
        <color theme="0" tint="-0.14999847407452621"/>
      </bottom>
      <diagonal/>
    </border>
    <border>
      <left/>
      <right style="thin">
        <color theme="0" tint="-0.14999847407452621"/>
      </right>
      <top/>
      <bottom/>
      <diagonal/>
    </border>
    <border>
      <left style="thin">
        <color rgb="FFB4D9FA"/>
      </left>
      <right/>
      <top/>
      <bottom/>
      <diagonal/>
    </border>
    <border>
      <left/>
      <right style="dotted">
        <color indexed="64"/>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style="thick">
        <color indexed="64"/>
      </top>
      <bottom/>
      <diagonal/>
    </border>
    <border>
      <left style="thin">
        <color theme="0" tint="-0.34998626667073579"/>
      </left>
      <right style="thin">
        <color theme="0" tint="-0.34998626667073579"/>
      </right>
      <top style="thin">
        <color theme="0" tint="-0.34998626667073579"/>
      </top>
      <bottom style="thick">
        <color auto="1"/>
      </bottom>
      <diagonal/>
    </border>
    <border>
      <left style="thin">
        <color theme="0" tint="-0.34998626667073579"/>
      </left>
      <right/>
      <top style="thin">
        <color theme="0" tint="-0.34998626667073579"/>
      </top>
      <bottom style="thick">
        <color auto="1"/>
      </bottom>
      <diagonal/>
    </border>
    <border>
      <left/>
      <right style="thin">
        <color theme="0" tint="-0.34998626667073579"/>
      </right>
      <top style="thin">
        <color theme="0" tint="-0.34998626667073579"/>
      </top>
      <bottom style="thick">
        <color auto="1"/>
      </bottom>
      <diagonal/>
    </border>
    <border>
      <left/>
      <right/>
      <top style="thin">
        <color theme="0" tint="-0.34998626667073579"/>
      </top>
      <bottom style="thick">
        <color auto="1"/>
      </bottom>
      <diagonal/>
    </border>
    <border>
      <left style="thin">
        <color theme="0" tint="-0.14999847407452621"/>
      </left>
      <right/>
      <top style="thin">
        <color theme="2" tint="-9.9917600024414813E-2"/>
      </top>
      <bottom style="thin">
        <color theme="0" tint="-0.14999847407452621"/>
      </bottom>
      <diagonal/>
    </border>
    <border>
      <left style="thin">
        <color theme="0" tint="-0.14999847407452621"/>
      </left>
      <right style="thin">
        <color theme="2" tint="-9.9978637043366805E-2"/>
      </right>
      <top style="thin">
        <color theme="2" tint="-9.9917600024414813E-2"/>
      </top>
      <bottom style="thin">
        <color theme="0" tint="-0.14999847407452621"/>
      </bottom>
      <diagonal/>
    </border>
    <border>
      <left style="thin">
        <color theme="4" tint="-0.499984740745262"/>
      </left>
      <right/>
      <top style="thin">
        <color theme="4" tint="-0.499984740745262"/>
      </top>
      <bottom/>
      <diagonal/>
    </border>
    <border>
      <left/>
      <right/>
      <top style="thin">
        <color theme="4" tint="-0.499984740745262"/>
      </top>
      <bottom/>
      <diagonal/>
    </border>
    <border>
      <left/>
      <right style="thin">
        <color theme="4" tint="-0.499984740745262"/>
      </right>
      <top style="thin">
        <color theme="4" tint="-0.499984740745262"/>
      </top>
      <bottom/>
      <diagonal/>
    </border>
    <border>
      <left style="thin">
        <color theme="4" tint="-0.499984740745262"/>
      </left>
      <right/>
      <top/>
      <bottom/>
      <diagonal/>
    </border>
    <border>
      <left/>
      <right style="thin">
        <color theme="4" tint="-0.499984740745262"/>
      </right>
      <top/>
      <bottom/>
      <diagonal/>
    </border>
    <border>
      <left style="thin">
        <color theme="4" tint="-0.499984740745262"/>
      </left>
      <right/>
      <top/>
      <bottom style="thin">
        <color theme="4" tint="-0.499984740745262"/>
      </bottom>
      <diagonal/>
    </border>
    <border>
      <left/>
      <right/>
      <top/>
      <bottom style="thin">
        <color theme="4" tint="-0.499984740745262"/>
      </bottom>
      <diagonal/>
    </border>
    <border>
      <left/>
      <right style="thin">
        <color theme="4" tint="-0.499984740745262"/>
      </right>
      <top/>
      <bottom style="thin">
        <color theme="4" tint="-0.499984740745262"/>
      </bottom>
      <diagonal/>
    </border>
    <border>
      <left style="thin">
        <color theme="2" tint="-9.9978637043366805E-2"/>
      </left>
      <right style="thin">
        <color theme="2" tint="-9.9978637043366805E-2"/>
      </right>
      <top style="thin">
        <color theme="2" tint="-9.9978637043366805E-2"/>
      </top>
      <bottom/>
      <diagonal/>
    </border>
    <border>
      <left style="thin">
        <color theme="2" tint="-9.9978637043366805E-2"/>
      </left>
      <right style="thin">
        <color theme="4" tint="-0.499984740745262"/>
      </right>
      <top/>
      <bottom/>
      <diagonal/>
    </border>
    <border>
      <left style="thin">
        <color theme="4" tint="-0.499984740745262"/>
      </left>
      <right/>
      <top style="thin">
        <color theme="4" tint="-0.499984740745262"/>
      </top>
      <bottom style="thin">
        <color theme="4" tint="-0.499984740745262"/>
      </bottom>
      <diagonal/>
    </border>
    <border>
      <left/>
      <right/>
      <top style="thin">
        <color theme="4" tint="-0.499984740745262"/>
      </top>
      <bottom style="thin">
        <color theme="4" tint="-0.499984740745262"/>
      </bottom>
      <diagonal/>
    </border>
    <border>
      <left/>
      <right style="thin">
        <color theme="4" tint="-0.499984740745262"/>
      </right>
      <top style="thin">
        <color theme="4" tint="-0.499984740745262"/>
      </top>
      <bottom style="thin">
        <color theme="4" tint="-0.499984740745262"/>
      </bottom>
      <diagonal/>
    </border>
  </borders>
  <cellStyleXfs count="8">
    <xf numFmtId="0" fontId="0" fillId="0" borderId="0"/>
    <xf numFmtId="165" fontId="18" fillId="0" borderId="0" applyFont="0" applyFill="0" applyBorder="0" applyAlignment="0" applyProtection="0"/>
    <xf numFmtId="9" fontId="18" fillId="0" borderId="0" applyFont="0" applyFill="0" applyBorder="0" applyAlignment="0" applyProtection="0"/>
    <xf numFmtId="165" fontId="18" fillId="0" borderId="0" applyFont="0" applyFill="0" applyBorder="0" applyAlignment="0" applyProtection="0"/>
    <xf numFmtId="0" fontId="42" fillId="0" borderId="0" applyNumberForma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60" fillId="24" borderId="0" applyNumberFormat="0" applyBorder="0" applyAlignment="0">
      <alignment horizontal="right" vertical="center"/>
    </xf>
  </cellStyleXfs>
  <cellXfs count="938">
    <xf numFmtId="0" fontId="0" fillId="0" borderId="0" xfId="0"/>
    <xf numFmtId="0" fontId="11" fillId="0" borderId="0" xfId="0" applyFont="1" applyAlignment="1">
      <alignment vertical="center"/>
    </xf>
    <xf numFmtId="0" fontId="11" fillId="0" borderId="0" xfId="0" applyFont="1" applyAlignment="1">
      <alignment horizontal="center" vertical="center"/>
    </xf>
    <xf numFmtId="0" fontId="0" fillId="0" borderId="0" xfId="0" applyAlignment="1">
      <alignment vertical="center"/>
    </xf>
    <xf numFmtId="0" fontId="0" fillId="0" borderId="0" xfId="0" applyAlignment="1">
      <alignment horizontal="center" vertical="center"/>
    </xf>
    <xf numFmtId="0" fontId="11" fillId="0" borderId="0" xfId="0" applyFont="1" applyAlignment="1">
      <alignment vertical="top" wrapText="1"/>
    </xf>
    <xf numFmtId="0" fontId="11" fillId="0" borderId="0" xfId="0" applyFont="1" applyAlignment="1">
      <alignment horizontal="center"/>
    </xf>
    <xf numFmtId="0" fontId="11" fillId="0" borderId="0" xfId="0" applyFont="1" applyAlignment="1">
      <alignment vertical="center" wrapText="1"/>
    </xf>
    <xf numFmtId="0" fontId="19" fillId="0" borderId="0" xfId="0" applyFont="1" applyAlignment="1">
      <alignment vertical="top" wrapText="1"/>
    </xf>
    <xf numFmtId="0" fontId="11" fillId="3" borderId="0" xfId="0" applyFont="1" applyFill="1" applyAlignment="1">
      <alignment vertical="center"/>
    </xf>
    <xf numFmtId="0" fontId="11" fillId="3" borderId="0" xfId="0" applyFont="1" applyFill="1" applyAlignment="1">
      <alignment horizontal="left" vertical="center" wrapText="1"/>
    </xf>
    <xf numFmtId="0" fontId="11" fillId="0" borderId="0" xfId="0" applyFont="1"/>
    <xf numFmtId="0" fontId="22" fillId="0" borderId="0" xfId="0" applyFont="1" applyAlignment="1">
      <alignment vertical="center"/>
    </xf>
    <xf numFmtId="0" fontId="11" fillId="0" borderId="0" xfId="0" applyFont="1" applyAlignment="1">
      <alignment horizontal="left"/>
    </xf>
    <xf numFmtId="0" fontId="17" fillId="0" borderId="0" xfId="0" applyFont="1"/>
    <xf numFmtId="0" fontId="20" fillId="0" borderId="0" xfId="0" applyFont="1" applyAlignment="1">
      <alignment horizontal="center" vertical="center"/>
    </xf>
    <xf numFmtId="0" fontId="13" fillId="0" borderId="0" xfId="0" applyFont="1" applyAlignment="1">
      <alignment vertical="center"/>
    </xf>
    <xf numFmtId="0" fontId="0" fillId="0" borderId="0" xfId="0" applyAlignment="1">
      <alignment horizontal="center"/>
    </xf>
    <xf numFmtId="0" fontId="26" fillId="0" borderId="0" xfId="0" applyFont="1" applyAlignment="1" applyProtection="1">
      <alignment vertical="center"/>
      <protection locked="0"/>
    </xf>
    <xf numFmtId="0" fontId="0" fillId="0" borderId="0" xfId="0" applyAlignment="1" applyProtection="1">
      <alignment horizontal="center" vertical="center"/>
      <protection locked="0"/>
    </xf>
    <xf numFmtId="0" fontId="11" fillId="0" borderId="0" xfId="0" applyFont="1" applyAlignment="1" applyProtection="1">
      <alignment horizontal="center" vertical="center"/>
      <protection locked="0"/>
    </xf>
    <xf numFmtId="0" fontId="11" fillId="0" borderId="0" xfId="0" applyFont="1" applyAlignment="1" applyProtection="1">
      <alignment vertical="center"/>
      <protection locked="0"/>
    </xf>
    <xf numFmtId="0" fontId="0" fillId="0" borderId="0" xfId="0" applyProtection="1">
      <protection locked="0"/>
    </xf>
    <xf numFmtId="0" fontId="22" fillId="0" borderId="0" xfId="0" applyFont="1" applyAlignment="1" applyProtection="1">
      <alignment vertical="center"/>
      <protection locked="0"/>
    </xf>
    <xf numFmtId="0" fontId="22"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25" fillId="0" borderId="0" xfId="0" applyFont="1" applyAlignment="1" applyProtection="1">
      <alignment horizontal="center" vertical="center"/>
      <protection locked="0"/>
    </xf>
    <xf numFmtId="0" fontId="25" fillId="0" borderId="0" xfId="0" applyFont="1" applyProtection="1">
      <protection locked="0"/>
    </xf>
    <xf numFmtId="0" fontId="16" fillId="0" borderId="0" xfId="0" applyFont="1" applyAlignment="1" applyProtection="1">
      <alignment horizontal="center"/>
      <protection locked="0"/>
    </xf>
    <xf numFmtId="0" fontId="16" fillId="0" borderId="0" xfId="0" applyFont="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alignment vertical="center"/>
      <protection locked="0"/>
    </xf>
    <xf numFmtId="0" fontId="16" fillId="0" borderId="0" xfId="0" applyFont="1" applyProtection="1">
      <protection locked="0"/>
    </xf>
    <xf numFmtId="0" fontId="16" fillId="0" borderId="0" xfId="0" applyFont="1" applyAlignment="1" applyProtection="1">
      <alignment vertical="center"/>
      <protection locked="0"/>
    </xf>
    <xf numFmtId="0" fontId="25" fillId="5" borderId="0" xfId="0" applyFont="1" applyFill="1" applyAlignment="1" applyProtection="1">
      <alignment vertical="center"/>
      <protection locked="0"/>
    </xf>
    <xf numFmtId="0" fontId="16" fillId="5" borderId="0" xfId="0" applyFont="1" applyFill="1" applyAlignment="1">
      <alignment horizontal="center" vertical="center"/>
    </xf>
    <xf numFmtId="0" fontId="25" fillId="5" borderId="0" xfId="0" applyFont="1" applyFill="1" applyAlignment="1">
      <alignment horizontal="center" vertical="center"/>
    </xf>
    <xf numFmtId="0" fontId="25" fillId="0" borderId="0" xfId="0" applyFont="1" applyAlignment="1">
      <alignment horizontal="center" vertical="center"/>
    </xf>
    <xf numFmtId="10" fontId="0" fillId="0" borderId="0" xfId="2" applyNumberFormat="1" applyFont="1" applyAlignment="1" applyProtection="1">
      <alignment horizontal="center"/>
    </xf>
    <xf numFmtId="0" fontId="40" fillId="0" borderId="0" xfId="0" applyFont="1" applyAlignment="1" applyProtection="1">
      <alignment vertical="center"/>
      <protection locked="0"/>
    </xf>
    <xf numFmtId="0" fontId="27" fillId="0" borderId="0" xfId="0" applyFont="1"/>
    <xf numFmtId="0" fontId="16" fillId="0" borderId="0" xfId="0" applyFont="1" applyAlignment="1" applyProtection="1">
      <alignment horizontal="left" vertical="center"/>
      <protection locked="0"/>
    </xf>
    <xf numFmtId="0" fontId="14" fillId="0" borderId="0" xfId="0" applyFont="1" applyAlignment="1">
      <alignment horizontal="left" vertical="center"/>
    </xf>
    <xf numFmtId="0" fontId="15" fillId="0" borderId="0" xfId="0" applyFont="1" applyAlignment="1">
      <alignment vertical="center"/>
    </xf>
    <xf numFmtId="0" fontId="16" fillId="0" borderId="0" xfId="0" applyFont="1" applyAlignment="1">
      <alignment vertical="center"/>
    </xf>
    <xf numFmtId="0" fontId="35" fillId="0" borderId="0" xfId="0" applyFont="1" applyAlignment="1">
      <alignment horizontal="left"/>
    </xf>
    <xf numFmtId="0" fontId="44" fillId="0" borderId="0" xfId="0" applyFont="1"/>
    <xf numFmtId="0" fontId="38" fillId="0" borderId="0" xfId="0" applyFont="1"/>
    <xf numFmtId="0" fontId="47" fillId="0" borderId="0" xfId="0" applyFont="1"/>
    <xf numFmtId="0" fontId="44" fillId="0" borderId="0" xfId="0" applyFont="1" applyAlignment="1">
      <alignment vertical="top" wrapText="1"/>
    </xf>
    <xf numFmtId="0" fontId="48" fillId="0" borderId="0" xfId="0" applyFont="1" applyAlignment="1">
      <alignment wrapText="1"/>
    </xf>
    <xf numFmtId="0" fontId="51" fillId="0" borderId="0" xfId="0" applyFont="1" applyAlignment="1">
      <alignment vertical="top" wrapText="1"/>
    </xf>
    <xf numFmtId="0" fontId="38" fillId="0" borderId="0" xfId="0" applyFont="1" applyAlignment="1">
      <alignment wrapText="1"/>
    </xf>
    <xf numFmtId="0" fontId="31" fillId="0" borderId="0" xfId="0" applyFont="1" applyAlignment="1">
      <alignment vertical="center"/>
    </xf>
    <xf numFmtId="0" fontId="46" fillId="0" borderId="0" xfId="0" applyFont="1" applyAlignment="1">
      <alignment vertical="center"/>
    </xf>
    <xf numFmtId="0" fontId="49" fillId="0" borderId="0" xfId="4" applyFont="1" applyBorder="1" applyAlignment="1">
      <alignment vertical="center"/>
    </xf>
    <xf numFmtId="0" fontId="44" fillId="0" borderId="0" xfId="0" applyFont="1" applyAlignment="1">
      <alignment vertical="center"/>
    </xf>
    <xf numFmtId="0" fontId="46" fillId="0" borderId="0" xfId="0" applyFont="1"/>
    <xf numFmtId="0" fontId="8" fillId="0" borderId="0" xfId="0" applyFont="1" applyAlignment="1">
      <alignment vertical="top"/>
    </xf>
    <xf numFmtId="0" fontId="50" fillId="0" borderId="0" xfId="0" applyFont="1" applyAlignment="1">
      <alignment vertical="top"/>
    </xf>
    <xf numFmtId="0" fontId="39" fillId="0" borderId="0" xfId="0" applyFont="1" applyAlignment="1">
      <alignment horizontal="right" vertical="center"/>
    </xf>
    <xf numFmtId="0" fontId="40" fillId="0" borderId="0" xfId="0" applyFont="1"/>
    <xf numFmtId="0" fontId="8" fillId="0" borderId="0" xfId="0" applyFont="1" applyAlignment="1">
      <alignment vertical="center"/>
    </xf>
    <xf numFmtId="0" fontId="27" fillId="0" borderId="0" xfId="0" applyFont="1" applyAlignment="1">
      <alignment wrapText="1"/>
    </xf>
    <xf numFmtId="0" fontId="25" fillId="12" borderId="0" xfId="0" applyFont="1" applyFill="1" applyProtection="1">
      <protection locked="0"/>
    </xf>
    <xf numFmtId="0" fontId="16" fillId="12" borderId="0" xfId="0" applyFont="1" applyFill="1" applyAlignment="1" applyProtection="1">
      <alignment horizontal="center"/>
      <protection locked="0"/>
    </xf>
    <xf numFmtId="0" fontId="16" fillId="12" borderId="0" xfId="0" applyFont="1" applyFill="1" applyAlignment="1" applyProtection="1">
      <alignment vertical="center"/>
      <protection locked="0"/>
    </xf>
    <xf numFmtId="0" fontId="0" fillId="12" borderId="0" xfId="0" applyFill="1" applyProtection="1">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16" fillId="12" borderId="0" xfId="0" applyFont="1" applyFill="1" applyAlignment="1" applyProtection="1">
      <alignment horizontal="center" vertical="center"/>
      <protection locked="0"/>
    </xf>
    <xf numFmtId="0" fontId="7" fillId="0" borderId="0" xfId="0" applyFont="1" applyAlignment="1">
      <alignment horizontal="left"/>
    </xf>
    <xf numFmtId="0" fontId="40" fillId="0" borderId="0" xfId="0" applyFont="1" applyAlignment="1">
      <alignment horizontal="left"/>
    </xf>
    <xf numFmtId="0" fontId="38" fillId="0" borderId="0" xfId="0" applyFont="1" applyAlignment="1">
      <alignment horizontal="center" vertical="center"/>
    </xf>
    <xf numFmtId="0" fontId="38" fillId="21" borderId="0" xfId="0" applyFont="1" applyFill="1" applyAlignment="1">
      <alignment horizontal="center" vertical="center" wrapText="1"/>
    </xf>
    <xf numFmtId="0" fontId="46" fillId="21" borderId="0" xfId="0" applyFont="1" applyFill="1" applyAlignment="1">
      <alignment horizontal="center" vertical="center"/>
    </xf>
    <xf numFmtId="0" fontId="46" fillId="21" borderId="0" xfId="0" applyFont="1" applyFill="1" applyAlignment="1">
      <alignment horizontal="center" vertical="center" wrapText="1"/>
    </xf>
    <xf numFmtId="0" fontId="38" fillId="21" borderId="0" xfId="0" applyFont="1" applyFill="1" applyAlignment="1">
      <alignment vertical="center"/>
    </xf>
    <xf numFmtId="0" fontId="38" fillId="21" borderId="0" xfId="0" applyFont="1" applyFill="1"/>
    <xf numFmtId="0" fontId="44" fillId="21" borderId="0" xfId="0" applyFont="1" applyFill="1"/>
    <xf numFmtId="0" fontId="44" fillId="21" borderId="0" xfId="0" applyFont="1" applyFill="1" applyAlignment="1">
      <alignment vertical="center"/>
    </xf>
    <xf numFmtId="0" fontId="53" fillId="0" borderId="0" xfId="0" applyFont="1" applyAlignment="1">
      <alignment horizontal="right"/>
    </xf>
    <xf numFmtId="0" fontId="38" fillId="0" borderId="15" xfId="0" applyFont="1" applyBorder="1" applyAlignment="1">
      <alignment horizontal="center" vertical="center"/>
    </xf>
    <xf numFmtId="0" fontId="44" fillId="0" borderId="17" xfId="0" applyFont="1" applyBorder="1"/>
    <xf numFmtId="0" fontId="44" fillId="0" borderId="18" xfId="0" applyFont="1" applyBorder="1"/>
    <xf numFmtId="0" fontId="44" fillId="0" borderId="19" xfId="0" applyFont="1" applyBorder="1"/>
    <xf numFmtId="0" fontId="44" fillId="0" borderId="21" xfId="0" applyFont="1" applyBorder="1"/>
    <xf numFmtId="166" fontId="44" fillId="0" borderId="16" xfId="0" applyNumberFormat="1" applyFont="1" applyBorder="1" applyAlignment="1">
      <alignment shrinkToFit="1"/>
    </xf>
    <xf numFmtId="0" fontId="46" fillId="0" borderId="18" xfId="0" applyFont="1" applyBorder="1" applyAlignment="1">
      <alignment vertical="top"/>
    </xf>
    <xf numFmtId="0" fontId="46" fillId="21" borderId="22" xfId="0" applyFont="1" applyFill="1" applyBorder="1"/>
    <xf numFmtId="0" fontId="8" fillId="0" borderId="17" xfId="0" applyFont="1" applyBorder="1" applyAlignment="1">
      <alignment vertical="top"/>
    </xf>
    <xf numFmtId="0" fontId="44" fillId="0" borderId="20" xfId="0" applyFont="1" applyBorder="1"/>
    <xf numFmtId="166" fontId="11" fillId="0" borderId="11" xfId="0" applyNumberFormat="1" applyFont="1" applyBorder="1" applyAlignment="1">
      <alignment horizontal="right" vertical="top" indent="1" shrinkToFit="1"/>
    </xf>
    <xf numFmtId="166" fontId="11" fillId="0" borderId="12" xfId="0" applyNumberFormat="1" applyFont="1" applyBorder="1" applyAlignment="1">
      <alignment horizontal="right" vertical="top" indent="1" shrinkToFit="1"/>
    </xf>
    <xf numFmtId="0" fontId="46" fillId="0" borderId="18" xfId="0" applyFont="1" applyBorder="1" applyAlignment="1">
      <alignment vertical="center"/>
    </xf>
    <xf numFmtId="166" fontId="11" fillId="0" borderId="12" xfId="0" applyNumberFormat="1" applyFont="1" applyBorder="1" applyAlignment="1">
      <alignment horizontal="right" vertical="center" shrinkToFit="1"/>
    </xf>
    <xf numFmtId="0" fontId="50" fillId="0" borderId="18" xfId="0" applyFont="1" applyBorder="1" applyAlignment="1">
      <alignment vertical="top"/>
    </xf>
    <xf numFmtId="166" fontId="19" fillId="0" borderId="12" xfId="0" applyNumberFormat="1" applyFont="1" applyBorder="1" applyAlignment="1">
      <alignment horizontal="right" vertical="top" indent="1" shrinkToFit="1"/>
    </xf>
    <xf numFmtId="0" fontId="11" fillId="0" borderId="13" xfId="0" applyFont="1" applyBorder="1" applyAlignment="1">
      <alignment horizontal="right"/>
    </xf>
    <xf numFmtId="0" fontId="6" fillId="0" borderId="0" xfId="0" applyFont="1" applyAlignment="1">
      <alignment horizontal="left"/>
    </xf>
    <xf numFmtId="0" fontId="8" fillId="0" borderId="20" xfId="0" applyFont="1" applyBorder="1" applyAlignment="1">
      <alignment vertical="top"/>
    </xf>
    <xf numFmtId="166" fontId="11" fillId="0" borderId="20" xfId="0" applyNumberFormat="1" applyFont="1" applyBorder="1" applyAlignment="1">
      <alignment horizontal="right" vertical="top" indent="1" shrinkToFit="1"/>
    </xf>
    <xf numFmtId="0" fontId="11" fillId="0" borderId="0" xfId="0" applyFont="1" applyAlignment="1">
      <alignment horizontal="right"/>
    </xf>
    <xf numFmtId="0" fontId="54" fillId="0" borderId="0" xfId="0" applyFont="1" applyAlignment="1">
      <alignment horizontal="center" vertical="center"/>
    </xf>
    <xf numFmtId="0" fontId="0" fillId="21" borderId="23" xfId="0" applyFill="1" applyBorder="1" applyAlignment="1">
      <alignment horizontal="left"/>
    </xf>
    <xf numFmtId="0" fontId="0" fillId="21" borderId="24" xfId="0" applyFill="1" applyBorder="1" applyAlignment="1">
      <alignment horizontal="left"/>
    </xf>
    <xf numFmtId="0" fontId="0" fillId="21" borderId="26" xfId="0" applyFill="1" applyBorder="1" applyAlignment="1">
      <alignment horizontal="left"/>
    </xf>
    <xf numFmtId="0" fontId="0" fillId="21" borderId="26" xfId="0" applyFill="1" applyBorder="1" applyAlignment="1">
      <alignment horizontal="left" vertical="center"/>
    </xf>
    <xf numFmtId="0" fontId="0" fillId="21" borderId="28" xfId="0" applyFill="1" applyBorder="1" applyAlignment="1">
      <alignment horizontal="left"/>
    </xf>
    <xf numFmtId="0" fontId="0" fillId="21" borderId="24" xfId="0" applyFill="1" applyBorder="1"/>
    <xf numFmtId="0" fontId="0" fillId="21" borderId="25" xfId="0" applyFill="1" applyBorder="1"/>
    <xf numFmtId="0" fontId="0" fillId="0" borderId="0" xfId="0" applyAlignment="1">
      <alignment horizontal="left"/>
    </xf>
    <xf numFmtId="0" fontId="51" fillId="0" borderId="0" xfId="0" applyFont="1" applyAlignment="1">
      <alignment vertical="top"/>
    </xf>
    <xf numFmtId="0" fontId="44" fillId="0" borderId="0" xfId="0" applyFont="1" applyAlignment="1">
      <alignment vertical="top"/>
    </xf>
    <xf numFmtId="0" fontId="44" fillId="0" borderId="21" xfId="0" applyFont="1" applyBorder="1" applyAlignment="1">
      <alignment horizontal="center" vertical="center" shrinkToFit="1"/>
    </xf>
    <xf numFmtId="0" fontId="44" fillId="0" borderId="21" xfId="0" applyFont="1" applyBorder="1" applyAlignment="1">
      <alignment shrinkToFit="1"/>
    </xf>
    <xf numFmtId="0" fontId="44" fillId="0" borderId="0" xfId="0" applyFont="1" applyAlignment="1">
      <alignment vertical="center" shrinkToFit="1"/>
    </xf>
    <xf numFmtId="0" fontId="9" fillId="0" borderId="0" xfId="0" applyFont="1" applyAlignment="1">
      <alignment vertical="center" shrinkToFit="1"/>
    </xf>
    <xf numFmtId="0" fontId="10" fillId="0" borderId="0" xfId="0" applyFont="1" applyAlignment="1">
      <alignment vertical="center" shrinkToFit="1"/>
    </xf>
    <xf numFmtId="0" fontId="46" fillId="0" borderId="0" xfId="0" applyFont="1" applyAlignment="1">
      <alignment shrinkToFit="1"/>
    </xf>
    <xf numFmtId="0" fontId="38" fillId="0" borderId="18" xfId="0" applyFont="1" applyBorder="1" applyAlignment="1">
      <alignment horizontal="center" vertical="center"/>
    </xf>
    <xf numFmtId="0" fontId="38" fillId="0" borderId="18" xfId="0" applyFont="1" applyBorder="1" applyAlignment="1">
      <alignment horizontal="center" vertical="center" shrinkToFit="1"/>
    </xf>
    <xf numFmtId="0" fontId="44" fillId="0" borderId="0" xfId="0" applyFont="1" applyAlignment="1">
      <alignment shrinkToFit="1"/>
    </xf>
    <xf numFmtId="0" fontId="57" fillId="0" borderId="0" xfId="0" applyFont="1" applyAlignment="1">
      <alignment shrinkToFit="1"/>
    </xf>
    <xf numFmtId="0" fontId="39" fillId="0" borderId="0" xfId="0" applyFont="1" applyAlignment="1">
      <alignment horizontal="left" vertical="center"/>
    </xf>
    <xf numFmtId="0" fontId="0" fillId="0" borderId="0" xfId="0" applyAlignment="1">
      <alignment shrinkToFit="1"/>
    </xf>
    <xf numFmtId="167" fontId="11" fillId="17" borderId="0" xfId="1" applyNumberFormat="1" applyFont="1" applyFill="1" applyBorder="1" applyAlignment="1">
      <alignment vertical="center"/>
    </xf>
    <xf numFmtId="167" fontId="11" fillId="17" borderId="0" xfId="1" applyNumberFormat="1" applyFont="1" applyFill="1" applyBorder="1" applyAlignment="1">
      <alignment horizontal="right" vertical="center"/>
    </xf>
    <xf numFmtId="0" fontId="20" fillId="0" borderId="0" xfId="0" applyFont="1" applyAlignment="1">
      <alignment horizontal="right" vertical="center"/>
    </xf>
    <xf numFmtId="167" fontId="16" fillId="17" borderId="0" xfId="1" applyNumberFormat="1" applyFont="1" applyFill="1" applyBorder="1" applyAlignment="1">
      <alignment horizontal="right" vertical="center"/>
    </xf>
    <xf numFmtId="0" fontId="32" fillId="0" borderId="0" xfId="0" applyFont="1" applyAlignment="1">
      <alignment vertical="center"/>
    </xf>
    <xf numFmtId="0" fontId="32" fillId="0" borderId="0" xfId="0" applyFont="1" applyAlignment="1">
      <alignment horizontal="right" vertical="center"/>
    </xf>
    <xf numFmtId="164" fontId="11" fillId="0" borderId="0" xfId="0" applyNumberFormat="1" applyFont="1" applyAlignment="1">
      <alignment vertical="center"/>
    </xf>
    <xf numFmtId="0" fontId="34" fillId="17" borderId="0" xfId="0" applyFont="1" applyFill="1" applyAlignment="1">
      <alignment horizontal="center" vertical="center"/>
    </xf>
    <xf numFmtId="167" fontId="11" fillId="4" borderId="0" xfId="1" applyNumberFormat="1" applyFont="1" applyFill="1" applyBorder="1" applyAlignment="1">
      <alignment vertical="center"/>
    </xf>
    <xf numFmtId="168" fontId="11" fillId="0" borderId="34" xfId="0" applyNumberFormat="1" applyFont="1" applyBorder="1" applyAlignment="1">
      <alignment vertical="center"/>
    </xf>
    <xf numFmtId="0" fontId="11" fillId="0" borderId="34" xfId="0" applyFont="1" applyBorder="1" applyAlignment="1">
      <alignment vertical="center"/>
    </xf>
    <xf numFmtId="168" fontId="20" fillId="0" borderId="34" xfId="0" applyNumberFormat="1" applyFont="1" applyBorder="1" applyAlignment="1">
      <alignment vertical="center"/>
    </xf>
    <xf numFmtId="168" fontId="11" fillId="0" borderId="36" xfId="0" applyNumberFormat="1" applyFont="1" applyBorder="1" applyAlignment="1">
      <alignment vertical="center"/>
    </xf>
    <xf numFmtId="0" fontId="11" fillId="0" borderId="36" xfId="0" applyFont="1" applyBorder="1" applyAlignment="1">
      <alignment vertical="center"/>
    </xf>
    <xf numFmtId="0" fontId="14" fillId="6" borderId="0" xfId="0" applyFont="1" applyFill="1" applyAlignment="1">
      <alignment vertical="center"/>
    </xf>
    <xf numFmtId="167" fontId="11" fillId="6" borderId="0" xfId="1" applyNumberFormat="1" applyFont="1" applyFill="1" applyBorder="1" applyAlignment="1">
      <alignment vertical="center"/>
    </xf>
    <xf numFmtId="0" fontId="11" fillId="0" borderId="37" xfId="0" applyFont="1" applyBorder="1" applyAlignment="1">
      <alignment vertical="center"/>
    </xf>
    <xf numFmtId="0" fontId="36" fillId="0" borderId="0" xfId="0" applyFont="1" applyAlignment="1">
      <alignment horizontal="left" vertical="center"/>
    </xf>
    <xf numFmtId="167" fontId="11" fillId="6" borderId="0" xfId="1" applyNumberFormat="1" applyFont="1" applyFill="1" applyBorder="1" applyAlignment="1">
      <alignment horizontal="right" vertical="center"/>
    </xf>
    <xf numFmtId="0" fontId="11" fillId="0" borderId="38" xfId="0" applyFont="1" applyBorder="1" applyAlignment="1">
      <alignment vertical="center"/>
    </xf>
    <xf numFmtId="0" fontId="11" fillId="18" borderId="0" xfId="0" applyFont="1" applyFill="1" applyAlignment="1">
      <alignment vertical="center"/>
    </xf>
    <xf numFmtId="167" fontId="11" fillId="18" borderId="0" xfId="1" applyNumberFormat="1" applyFont="1" applyFill="1" applyBorder="1" applyAlignment="1">
      <alignment vertical="center"/>
    </xf>
    <xf numFmtId="167" fontId="11" fillId="18" borderId="0" xfId="1" applyNumberFormat="1" applyFont="1" applyFill="1" applyBorder="1" applyAlignment="1">
      <alignment horizontal="right" vertical="center"/>
    </xf>
    <xf numFmtId="167" fontId="16" fillId="18" borderId="0" xfId="1" applyNumberFormat="1" applyFont="1" applyFill="1" applyBorder="1" applyAlignment="1">
      <alignment horizontal="right" vertical="center"/>
    </xf>
    <xf numFmtId="165" fontId="11" fillId="0" borderId="0" xfId="0" applyNumberFormat="1" applyFont="1" applyAlignment="1">
      <alignment vertical="center"/>
    </xf>
    <xf numFmtId="0" fontId="34" fillId="18" borderId="0" xfId="0" applyFont="1" applyFill="1" applyAlignment="1">
      <alignment horizontal="left" vertical="center"/>
    </xf>
    <xf numFmtId="0" fontId="11" fillId="14" borderId="0" xfId="0" applyFont="1" applyFill="1" applyAlignment="1">
      <alignment vertical="center"/>
    </xf>
    <xf numFmtId="167" fontId="11" fillId="14" borderId="0" xfId="1" applyNumberFormat="1" applyFont="1" applyFill="1" applyBorder="1" applyAlignment="1">
      <alignment vertical="center"/>
    </xf>
    <xf numFmtId="167" fontId="11" fillId="14" borderId="0" xfId="1" applyNumberFormat="1" applyFont="1" applyFill="1" applyBorder="1" applyAlignment="1">
      <alignment horizontal="right" vertical="center"/>
    </xf>
    <xf numFmtId="0" fontId="11" fillId="15" borderId="0" xfId="0" applyFont="1" applyFill="1" applyAlignment="1">
      <alignment vertical="center"/>
    </xf>
    <xf numFmtId="167" fontId="11" fillId="15" borderId="0" xfId="1" applyNumberFormat="1" applyFont="1" applyFill="1" applyBorder="1" applyAlignment="1">
      <alignment vertical="center"/>
    </xf>
    <xf numFmtId="167" fontId="11" fillId="15" borderId="0" xfId="1" applyNumberFormat="1" applyFont="1" applyFill="1" applyBorder="1" applyAlignment="1">
      <alignment horizontal="right" vertical="center"/>
    </xf>
    <xf numFmtId="167" fontId="16" fillId="15" borderId="0" xfId="1" applyNumberFormat="1" applyFont="1" applyFill="1" applyBorder="1" applyAlignment="1">
      <alignment horizontal="right" vertical="center"/>
    </xf>
    <xf numFmtId="0" fontId="11" fillId="19" borderId="0" xfId="0" applyFont="1" applyFill="1" applyAlignment="1">
      <alignment vertical="center"/>
    </xf>
    <xf numFmtId="167" fontId="11" fillId="19" borderId="0" xfId="1" applyNumberFormat="1" applyFont="1" applyFill="1" applyBorder="1" applyAlignment="1">
      <alignment vertical="center"/>
    </xf>
    <xf numFmtId="167" fontId="11" fillId="19" borderId="0" xfId="1" applyNumberFormat="1" applyFont="1" applyFill="1" applyBorder="1" applyAlignment="1">
      <alignment horizontal="right" vertical="center"/>
    </xf>
    <xf numFmtId="167" fontId="16" fillId="19" borderId="0" xfId="1" applyNumberFormat="1" applyFont="1" applyFill="1" applyBorder="1" applyAlignment="1">
      <alignment horizontal="right" vertical="center"/>
    </xf>
    <xf numFmtId="167" fontId="11" fillId="16" borderId="0" xfId="1" applyNumberFormat="1" applyFont="1" applyFill="1" applyBorder="1" applyAlignment="1">
      <alignment vertical="center"/>
    </xf>
    <xf numFmtId="167" fontId="11" fillId="16" borderId="0" xfId="1" applyNumberFormat="1" applyFont="1" applyFill="1" applyBorder="1" applyAlignment="1">
      <alignment horizontal="right" vertical="center"/>
    </xf>
    <xf numFmtId="167" fontId="16" fillId="16" borderId="0" xfId="1" applyNumberFormat="1" applyFont="1" applyFill="1" applyBorder="1" applyAlignment="1">
      <alignment horizontal="right" vertical="center"/>
    </xf>
    <xf numFmtId="0" fontId="11" fillId="13" borderId="0" xfId="0" applyFont="1" applyFill="1" applyAlignment="1">
      <alignment vertical="center"/>
    </xf>
    <xf numFmtId="167" fontId="11" fillId="13" borderId="0" xfId="1" applyNumberFormat="1" applyFont="1" applyFill="1" applyBorder="1" applyAlignment="1">
      <alignment vertical="center"/>
    </xf>
    <xf numFmtId="167" fontId="11" fillId="13" borderId="0" xfId="1" applyNumberFormat="1" applyFont="1" applyFill="1" applyBorder="1" applyAlignment="1">
      <alignment horizontal="right" vertical="center"/>
    </xf>
    <xf numFmtId="167" fontId="16" fillId="13" borderId="0" xfId="1" applyNumberFormat="1" applyFont="1" applyFill="1" applyBorder="1" applyAlignment="1">
      <alignment horizontal="right" vertical="center"/>
    </xf>
    <xf numFmtId="168" fontId="20" fillId="0" borderId="35" xfId="0" applyNumberFormat="1" applyFont="1" applyBorder="1" applyAlignment="1">
      <alignment horizontal="right" vertical="center"/>
    </xf>
    <xf numFmtId="168" fontId="20" fillId="0" borderId="35" xfId="0" applyNumberFormat="1" applyFont="1" applyBorder="1" applyAlignment="1">
      <alignment horizontal="center" vertical="center"/>
    </xf>
    <xf numFmtId="168" fontId="20" fillId="0" borderId="34" xfId="0" applyNumberFormat="1" applyFont="1" applyBorder="1" applyAlignment="1">
      <alignment horizontal="right" vertical="center"/>
    </xf>
    <xf numFmtId="168" fontId="20" fillId="0" borderId="34" xfId="0" applyNumberFormat="1" applyFont="1" applyBorder="1" applyAlignment="1">
      <alignment horizontal="center" vertical="center"/>
    </xf>
    <xf numFmtId="173" fontId="38" fillId="0" borderId="14" xfId="0" applyNumberFormat="1" applyFont="1" applyBorder="1" applyAlignment="1">
      <alignment horizontal="right" shrinkToFit="1"/>
    </xf>
    <xf numFmtId="173" fontId="38" fillId="0" borderId="11" xfId="0" applyNumberFormat="1" applyFont="1" applyBorder="1" applyAlignment="1">
      <alignment horizontal="right" shrinkToFit="1"/>
    </xf>
    <xf numFmtId="173" fontId="38" fillId="0" borderId="15" xfId="0" applyNumberFormat="1" applyFont="1" applyBorder="1" applyAlignment="1">
      <alignment horizontal="right" shrinkToFit="1"/>
    </xf>
    <xf numFmtId="173" fontId="38" fillId="0" borderId="12" xfId="0" applyNumberFormat="1" applyFont="1" applyBorder="1" applyAlignment="1">
      <alignment horizontal="right" shrinkToFit="1"/>
    </xf>
    <xf numFmtId="173" fontId="44" fillId="0" borderId="16" xfId="0" applyNumberFormat="1" applyFont="1" applyBorder="1" applyAlignment="1">
      <alignment horizontal="right" shrinkToFit="1"/>
    </xf>
    <xf numFmtId="173" fontId="44" fillId="0" borderId="13" xfId="0" applyNumberFormat="1" applyFont="1" applyBorder="1" applyAlignment="1">
      <alignment horizontal="right" shrinkToFit="1"/>
    </xf>
    <xf numFmtId="0" fontId="42" fillId="0" borderId="0" xfId="4" applyAlignment="1" applyProtection="1">
      <alignment vertical="center"/>
    </xf>
    <xf numFmtId="164" fontId="11" fillId="17" borderId="0" xfId="1" applyNumberFormat="1" applyFont="1" applyFill="1" applyBorder="1" applyAlignment="1">
      <alignment vertical="center"/>
    </xf>
    <xf numFmtId="164" fontId="11" fillId="17" borderId="0" xfId="1" applyNumberFormat="1" applyFont="1" applyFill="1" applyBorder="1" applyAlignment="1">
      <alignment horizontal="right" vertical="center"/>
    </xf>
    <xf numFmtId="164" fontId="16" fillId="17" borderId="0" xfId="1" applyNumberFormat="1" applyFont="1" applyFill="1" applyBorder="1" applyAlignment="1">
      <alignment horizontal="right" vertical="center" wrapText="1"/>
    </xf>
    <xf numFmtId="164" fontId="11" fillId="6" borderId="0" xfId="1" applyNumberFormat="1" applyFont="1" applyFill="1" applyBorder="1" applyAlignment="1">
      <alignment vertical="center"/>
    </xf>
    <xf numFmtId="164" fontId="11" fillId="6" borderId="0" xfId="1" applyNumberFormat="1" applyFont="1" applyFill="1" applyBorder="1" applyAlignment="1">
      <alignment horizontal="right" vertical="center"/>
    </xf>
    <xf numFmtId="164" fontId="11" fillId="18" borderId="0" xfId="1" applyNumberFormat="1" applyFont="1" applyFill="1" applyBorder="1" applyAlignment="1">
      <alignment vertical="center"/>
    </xf>
    <xf numFmtId="164" fontId="11" fillId="18" borderId="0" xfId="1" applyNumberFormat="1" applyFont="1" applyFill="1" applyBorder="1" applyAlignment="1">
      <alignment horizontal="right" vertical="center"/>
    </xf>
    <xf numFmtId="164" fontId="16" fillId="18" borderId="0" xfId="1" applyNumberFormat="1" applyFont="1" applyFill="1" applyBorder="1" applyAlignment="1">
      <alignment horizontal="right" vertical="center" wrapText="1"/>
    </xf>
    <xf numFmtId="164" fontId="11" fillId="14" borderId="0" xfId="1" applyNumberFormat="1" applyFont="1" applyFill="1" applyBorder="1" applyAlignment="1">
      <alignment horizontal="right" vertical="center"/>
    </xf>
    <xf numFmtId="164" fontId="11" fillId="14" borderId="0" xfId="1" applyNumberFormat="1" applyFont="1" applyFill="1" applyBorder="1" applyAlignment="1">
      <alignment vertical="center"/>
    </xf>
    <xf numFmtId="164" fontId="11" fillId="15" borderId="0" xfId="1" applyNumberFormat="1" applyFont="1" applyFill="1" applyBorder="1" applyAlignment="1">
      <alignment vertical="center"/>
    </xf>
    <xf numFmtId="164" fontId="11" fillId="15" borderId="0" xfId="1" applyNumberFormat="1" applyFont="1" applyFill="1" applyBorder="1" applyAlignment="1">
      <alignment horizontal="right" vertical="center"/>
    </xf>
    <xf numFmtId="164" fontId="11" fillId="19" borderId="0" xfId="1" applyNumberFormat="1" applyFont="1" applyFill="1" applyBorder="1" applyAlignment="1">
      <alignment vertical="center"/>
    </xf>
    <xf numFmtId="164" fontId="11" fillId="19" borderId="0" xfId="1" applyNumberFormat="1" applyFont="1" applyFill="1" applyBorder="1" applyAlignment="1">
      <alignment horizontal="right" vertical="center"/>
    </xf>
    <xf numFmtId="164" fontId="16" fillId="19" borderId="0" xfId="1" applyNumberFormat="1" applyFont="1" applyFill="1" applyBorder="1" applyAlignment="1">
      <alignment horizontal="right" vertical="center" wrapText="1"/>
    </xf>
    <xf numFmtId="164" fontId="11" fillId="16" borderId="0" xfId="1" applyNumberFormat="1" applyFont="1" applyFill="1" applyBorder="1" applyAlignment="1">
      <alignment vertical="center"/>
    </xf>
    <xf numFmtId="164" fontId="11" fillId="16" borderId="0" xfId="1" applyNumberFormat="1" applyFont="1" applyFill="1" applyBorder="1" applyAlignment="1">
      <alignment horizontal="right" vertical="center"/>
    </xf>
    <xf numFmtId="164" fontId="16" fillId="16" borderId="0" xfId="1" applyNumberFormat="1" applyFont="1" applyFill="1" applyBorder="1" applyAlignment="1">
      <alignment horizontal="right" vertical="center" wrapText="1"/>
    </xf>
    <xf numFmtId="164" fontId="11" fillId="13" borderId="0" xfId="1" applyNumberFormat="1" applyFont="1" applyFill="1" applyBorder="1" applyAlignment="1">
      <alignment vertical="center"/>
    </xf>
    <xf numFmtId="164" fontId="11" fillId="13" borderId="0" xfId="1" applyNumberFormat="1" applyFont="1" applyFill="1" applyBorder="1" applyAlignment="1">
      <alignment horizontal="right" vertical="center"/>
    </xf>
    <xf numFmtId="0" fontId="16" fillId="0" borderId="0" xfId="0" applyFont="1" applyAlignment="1">
      <alignment vertical="center" wrapText="1"/>
    </xf>
    <xf numFmtId="0" fontId="19" fillId="0" borderId="0" xfId="0" applyFont="1"/>
    <xf numFmtId="0" fontId="13" fillId="0" borderId="0" xfId="0" applyFont="1" applyAlignment="1">
      <alignment horizontal="right" vertical="center"/>
    </xf>
    <xf numFmtId="0" fontId="11" fillId="0" borderId="41" xfId="0" applyFont="1" applyBorder="1" applyAlignment="1">
      <alignment vertical="center"/>
    </xf>
    <xf numFmtId="0" fontId="5" fillId="0" borderId="0" xfId="0" applyFont="1"/>
    <xf numFmtId="0" fontId="0" fillId="20" borderId="0" xfId="0" applyFill="1"/>
    <xf numFmtId="0" fontId="19" fillId="0" borderId="0" xfId="0" applyFont="1" applyAlignment="1">
      <alignment shrinkToFit="1"/>
    </xf>
    <xf numFmtId="0" fontId="0" fillId="20" borderId="0" xfId="0" applyFill="1" applyAlignment="1">
      <alignment shrinkToFit="1"/>
    </xf>
    <xf numFmtId="0" fontId="0" fillId="20" borderId="0" xfId="0" applyFill="1" applyAlignment="1">
      <alignment horizontal="left" shrinkToFit="1"/>
    </xf>
    <xf numFmtId="0" fontId="5" fillId="20" borderId="0" xfId="0" applyFont="1" applyFill="1" applyAlignment="1">
      <alignment shrinkToFit="1"/>
    </xf>
    <xf numFmtId="0" fontId="19" fillId="20" borderId="0" xfId="0" applyFont="1" applyFill="1"/>
    <xf numFmtId="0" fontId="46" fillId="20" borderId="0" xfId="0" applyFont="1" applyFill="1"/>
    <xf numFmtId="0" fontId="5" fillId="20" borderId="0" xfId="0" applyFont="1" applyFill="1"/>
    <xf numFmtId="0" fontId="25" fillId="11" borderId="0" xfId="0" applyFont="1" applyFill="1" applyAlignment="1" applyProtection="1">
      <alignment horizontal="center" vertical="center"/>
      <protection locked="0"/>
    </xf>
    <xf numFmtId="0" fontId="25" fillId="0" borderId="0" xfId="0" applyFont="1"/>
    <xf numFmtId="0" fontId="25" fillId="0" borderId="0" xfId="0" applyFont="1" applyAlignment="1">
      <alignment horizontal="center"/>
    </xf>
    <xf numFmtId="0" fontId="73" fillId="0" borderId="0" xfId="0" applyFont="1"/>
    <xf numFmtId="0" fontId="73" fillId="0" borderId="0" xfId="0" applyFont="1" applyAlignment="1">
      <alignment horizontal="right"/>
    </xf>
    <xf numFmtId="0" fontId="73" fillId="17" borderId="0" xfId="0" applyFont="1" applyFill="1" applyAlignment="1">
      <alignment horizontal="center"/>
    </xf>
    <xf numFmtId="0" fontId="73" fillId="17" borderId="0" xfId="0" applyFont="1" applyFill="1" applyAlignment="1">
      <alignment horizontal="left"/>
    </xf>
    <xf numFmtId="0" fontId="73" fillId="6" borderId="0" xfId="0" applyFont="1" applyFill="1" applyAlignment="1">
      <alignment horizontal="center"/>
    </xf>
    <xf numFmtId="0" fontId="25" fillId="17" borderId="0" xfId="0" applyFont="1" applyFill="1"/>
    <xf numFmtId="0" fontId="25" fillId="0" borderId="0" xfId="0" applyFont="1" applyAlignment="1">
      <alignment vertical="center"/>
    </xf>
    <xf numFmtId="0" fontId="73" fillId="0" borderId="0" xfId="0" applyFont="1" applyAlignment="1">
      <alignment horizontal="right" vertical="center"/>
    </xf>
    <xf numFmtId="0" fontId="72" fillId="0" borderId="0" xfId="0" applyFont="1" applyAlignment="1">
      <alignment horizontal="left" vertical="center"/>
    </xf>
    <xf numFmtId="0" fontId="73" fillId="17" borderId="0" xfId="0" applyFont="1" applyFill="1" applyAlignment="1">
      <alignment horizontal="center" vertical="center"/>
    </xf>
    <xf numFmtId="0" fontId="73" fillId="6" borderId="0" xfId="0" applyFont="1" applyFill="1" applyAlignment="1">
      <alignment horizontal="center" vertical="center"/>
    </xf>
    <xf numFmtId="0" fontId="74" fillId="0" borderId="0" xfId="0" applyFont="1"/>
    <xf numFmtId="0" fontId="25" fillId="0" borderId="0" xfId="0" applyFont="1" applyAlignment="1">
      <alignment horizontal="left" vertical="center" indent="2"/>
    </xf>
    <xf numFmtId="0" fontId="25" fillId="0" borderId="0" xfId="0" applyFont="1" applyAlignment="1">
      <alignment horizontal="right"/>
    </xf>
    <xf numFmtId="0" fontId="76" fillId="0" borderId="0" xfId="0" applyFont="1" applyAlignment="1">
      <alignment vertical="top"/>
    </xf>
    <xf numFmtId="0" fontId="40" fillId="25" borderId="0" xfId="0" applyFont="1" applyFill="1"/>
    <xf numFmtId="0" fontId="40" fillId="26" borderId="0" xfId="0" applyFont="1" applyFill="1"/>
    <xf numFmtId="0" fontId="44" fillId="0" borderId="0" xfId="0" applyFont="1" applyAlignment="1">
      <alignment horizontal="center" vertical="center"/>
    </xf>
    <xf numFmtId="0" fontId="77" fillId="0" borderId="0" xfId="0" applyFont="1" applyAlignment="1">
      <alignment horizontal="right"/>
    </xf>
    <xf numFmtId="0" fontId="4" fillId="0" borderId="0" xfId="0" applyFont="1" applyAlignment="1">
      <alignment horizontal="right"/>
    </xf>
    <xf numFmtId="0" fontId="49" fillId="0" borderId="0" xfId="0" applyFont="1" applyAlignment="1">
      <alignment shrinkToFit="1"/>
    </xf>
    <xf numFmtId="0" fontId="78" fillId="0" borderId="0" xfId="0" applyFont="1" applyAlignment="1">
      <alignment horizontal="left"/>
    </xf>
    <xf numFmtId="0" fontId="79" fillId="0" borderId="0" xfId="0" applyFont="1" applyAlignment="1">
      <alignment shrinkToFit="1"/>
    </xf>
    <xf numFmtId="0" fontId="44" fillId="0" borderId="14" xfId="0" applyFont="1" applyBorder="1"/>
    <xf numFmtId="0" fontId="46" fillId="21" borderId="42" xfId="0" applyFont="1" applyFill="1" applyBorder="1"/>
    <xf numFmtId="0" fontId="38" fillId="0" borderId="20" xfId="0" applyFont="1" applyBorder="1" applyAlignment="1">
      <alignment horizontal="center" vertical="center" shrinkToFit="1"/>
    </xf>
    <xf numFmtId="0" fontId="38" fillId="0" borderId="14" xfId="0" applyFont="1" applyBorder="1" applyAlignment="1">
      <alignment horizontal="center" vertical="center" shrinkToFit="1"/>
    </xf>
    <xf numFmtId="0" fontId="73" fillId="0" borderId="0" xfId="0" applyFont="1" applyAlignment="1">
      <alignment vertical="center" shrinkToFit="1"/>
    </xf>
    <xf numFmtId="0" fontId="73" fillId="0" borderId="0" xfId="0" applyFont="1" applyAlignment="1">
      <alignment vertical="center"/>
    </xf>
    <xf numFmtId="0" fontId="73" fillId="18" borderId="0" xfId="0" applyFont="1" applyFill="1" applyAlignment="1">
      <alignment horizontal="center"/>
    </xf>
    <xf numFmtId="0" fontId="73" fillId="18" borderId="0" xfId="0" applyFont="1" applyFill="1" applyAlignment="1">
      <alignment horizontal="center" vertical="center"/>
    </xf>
    <xf numFmtId="0" fontId="73" fillId="19" borderId="0" xfId="0" applyFont="1" applyFill="1" applyAlignment="1">
      <alignment vertical="center" shrinkToFit="1"/>
    </xf>
    <xf numFmtId="0" fontId="73" fillId="16" borderId="0" xfId="0" applyFont="1" applyFill="1" applyAlignment="1">
      <alignment vertical="center" shrinkToFit="1"/>
    </xf>
    <xf numFmtId="0" fontId="25" fillId="17" borderId="0" xfId="0" applyFont="1" applyFill="1" applyAlignment="1">
      <alignment vertical="center"/>
    </xf>
    <xf numFmtId="0" fontId="25" fillId="17" borderId="0" xfId="0" applyFont="1" applyFill="1" applyAlignment="1">
      <alignment horizontal="center" vertical="center"/>
    </xf>
    <xf numFmtId="0" fontId="25" fillId="18" borderId="0" xfId="0" applyFont="1" applyFill="1"/>
    <xf numFmtId="0" fontId="25" fillId="15" borderId="0" xfId="0" applyFont="1" applyFill="1"/>
    <xf numFmtId="0" fontId="73" fillId="14" borderId="0" xfId="0" applyFont="1" applyFill="1" applyAlignment="1">
      <alignment horizontal="center"/>
    </xf>
    <xf numFmtId="0" fontId="73" fillId="14" borderId="0" xfId="0" applyFont="1" applyFill="1" applyAlignment="1">
      <alignment horizontal="center" vertical="center"/>
    </xf>
    <xf numFmtId="0" fontId="73" fillId="15" borderId="0" xfId="0" applyFont="1" applyFill="1" applyAlignment="1">
      <alignment horizontal="center"/>
    </xf>
    <xf numFmtId="0" fontId="73" fillId="15" borderId="0" xfId="0" applyFont="1" applyFill="1" applyAlignment="1">
      <alignment horizontal="center" vertical="center"/>
    </xf>
    <xf numFmtId="0" fontId="73" fillId="19" borderId="0" xfId="0" applyFont="1" applyFill="1" applyAlignment="1">
      <alignment horizontal="center"/>
    </xf>
    <xf numFmtId="0" fontId="73" fillId="19" borderId="0" xfId="0" applyFont="1" applyFill="1" applyAlignment="1">
      <alignment horizontal="center" vertical="center"/>
    </xf>
    <xf numFmtId="0" fontId="73" fillId="16" borderId="0" xfId="0" applyFont="1" applyFill="1" applyAlignment="1">
      <alignment horizontal="center"/>
    </xf>
    <xf numFmtId="0" fontId="73" fillId="16" borderId="0" xfId="0" applyFont="1" applyFill="1" applyAlignment="1">
      <alignment horizontal="center" vertical="center"/>
    </xf>
    <xf numFmtId="0" fontId="73" fillId="13" borderId="0" xfId="0" applyFont="1" applyFill="1" applyAlignment="1">
      <alignment horizontal="center"/>
    </xf>
    <xf numFmtId="0" fontId="73" fillId="13" borderId="0" xfId="0" applyFont="1" applyFill="1" applyAlignment="1">
      <alignment horizontal="center" vertical="center"/>
    </xf>
    <xf numFmtId="0" fontId="73" fillId="13" borderId="0" xfId="0" applyFont="1" applyFill="1" applyAlignment="1">
      <alignment vertical="center" shrinkToFit="1"/>
    </xf>
    <xf numFmtId="0" fontId="49" fillId="0" borderId="0" xfId="0" applyFont="1" applyAlignment="1">
      <alignment vertical="center"/>
    </xf>
    <xf numFmtId="0" fontId="25" fillId="2" borderId="0" xfId="0" applyFont="1" applyFill="1" applyAlignment="1">
      <alignment horizontal="centerContinuous"/>
    </xf>
    <xf numFmtId="0" fontId="74" fillId="2" borderId="0" xfId="0" applyFont="1" applyFill="1" applyAlignment="1">
      <alignment horizontal="centerContinuous"/>
    </xf>
    <xf numFmtId="0" fontId="25" fillId="2" borderId="0" xfId="0" applyFont="1" applyFill="1" applyAlignment="1">
      <alignment horizontal="centerContinuous" vertical="center"/>
    </xf>
    <xf numFmtId="0" fontId="75" fillId="17" borderId="0" xfId="0" applyFont="1" applyFill="1" applyAlignment="1">
      <alignment horizontal="left"/>
    </xf>
    <xf numFmtId="0" fontId="75" fillId="6" borderId="0" xfId="0" applyFont="1" applyFill="1" applyAlignment="1">
      <alignment horizontal="left"/>
    </xf>
    <xf numFmtId="0" fontId="75" fillId="18" borderId="0" xfId="0" applyFont="1" applyFill="1" applyAlignment="1">
      <alignment horizontal="left"/>
    </xf>
    <xf numFmtId="0" fontId="75" fillId="14" borderId="0" xfId="0" applyFont="1" applyFill="1" applyAlignment="1">
      <alignment horizontal="left"/>
    </xf>
    <xf numFmtId="0" fontId="75" fillId="15" borderId="0" xfId="0" applyFont="1" applyFill="1" applyAlignment="1">
      <alignment horizontal="left"/>
    </xf>
    <xf numFmtId="0" fontId="75" fillId="19" borderId="0" xfId="0" applyFont="1" applyFill="1" applyAlignment="1">
      <alignment horizontal="left"/>
    </xf>
    <xf numFmtId="0" fontId="75" fillId="16" borderId="0" xfId="0" applyFont="1" applyFill="1" applyAlignment="1">
      <alignment horizontal="left"/>
    </xf>
    <xf numFmtId="0" fontId="75" fillId="13" borderId="0" xfId="0" applyFont="1" applyFill="1" applyAlignment="1">
      <alignment horizontal="left"/>
    </xf>
    <xf numFmtId="0" fontId="25" fillId="3" borderId="45" xfId="0" applyFont="1" applyFill="1" applyBorder="1"/>
    <xf numFmtId="0" fontId="25" fillId="0" borderId="44" xfId="0" applyFont="1" applyBorder="1" applyAlignment="1">
      <alignment horizontal="center"/>
    </xf>
    <xf numFmtId="0" fontId="25" fillId="0" borderId="45" xfId="0" applyFont="1" applyBorder="1" applyAlignment="1">
      <alignment horizontal="right" shrinkToFit="1"/>
    </xf>
    <xf numFmtId="0" fontId="25" fillId="0" borderId="44" xfId="0" applyFont="1" applyBorder="1" applyAlignment="1">
      <alignment horizontal="right" vertical="center"/>
    </xf>
    <xf numFmtId="0" fontId="25" fillId="0" borderId="55" xfId="0" applyFont="1" applyBorder="1" applyAlignment="1">
      <alignment horizontal="center"/>
    </xf>
    <xf numFmtId="0" fontId="25" fillId="0" borderId="52" xfId="0" applyFont="1" applyBorder="1" applyAlignment="1">
      <alignment horizontal="right"/>
    </xf>
    <xf numFmtId="0" fontId="25" fillId="3" borderId="52" xfId="0" applyFont="1" applyFill="1" applyBorder="1" applyAlignment="1">
      <alignment horizontal="center"/>
    </xf>
    <xf numFmtId="0" fontId="74" fillId="0" borderId="51" xfId="0" applyFont="1" applyBorder="1" applyAlignment="1">
      <alignment horizontal="centerContinuous"/>
    </xf>
    <xf numFmtId="0" fontId="25" fillId="0" borderId="51" xfId="0" applyFont="1" applyBorder="1" applyAlignment="1">
      <alignment horizontal="centerContinuous"/>
    </xf>
    <xf numFmtId="0" fontId="25" fillId="0" borderId="51" xfId="0" applyFont="1" applyBorder="1" applyAlignment="1">
      <alignment horizontal="centerContinuous" vertical="center"/>
    </xf>
    <xf numFmtId="0" fontId="73" fillId="0" borderId="40" xfId="0" applyFont="1" applyBorder="1" applyAlignment="1">
      <alignment horizontal="right" vertical="center"/>
    </xf>
    <xf numFmtId="168" fontId="11" fillId="0" borderId="56" xfId="0" applyNumberFormat="1" applyFont="1" applyBorder="1" applyAlignment="1">
      <alignment vertical="center"/>
    </xf>
    <xf numFmtId="0" fontId="11" fillId="0" borderId="57" xfId="0" applyFont="1" applyBorder="1" applyAlignment="1">
      <alignment vertical="center"/>
    </xf>
    <xf numFmtId="0" fontId="25" fillId="17" borderId="0" xfId="0" applyFont="1" applyFill="1" applyAlignment="1">
      <alignment horizontal="right"/>
    </xf>
    <xf numFmtId="0" fontId="25" fillId="6" borderId="0" xfId="0" applyFont="1" applyFill="1" applyAlignment="1">
      <alignment horizontal="right"/>
    </xf>
    <xf numFmtId="0" fontId="25" fillId="18" borderId="0" xfId="0" applyFont="1" applyFill="1" applyAlignment="1">
      <alignment horizontal="right"/>
    </xf>
    <xf numFmtId="0" fontId="25" fillId="14" borderId="0" xfId="0" applyFont="1" applyFill="1" applyAlignment="1">
      <alignment horizontal="right"/>
    </xf>
    <xf numFmtId="0" fontId="25" fillId="15" borderId="0" xfId="0" applyFont="1" applyFill="1" applyAlignment="1">
      <alignment horizontal="right"/>
    </xf>
    <xf numFmtId="0" fontId="25" fillId="19" borderId="0" xfId="0" applyFont="1" applyFill="1" applyAlignment="1">
      <alignment horizontal="right"/>
    </xf>
    <xf numFmtId="0" fontId="25" fillId="16" borderId="0" xfId="0" applyFont="1" applyFill="1" applyAlignment="1">
      <alignment horizontal="right"/>
    </xf>
    <xf numFmtId="0" fontId="25" fillId="13" borderId="0" xfId="0" applyFont="1" applyFill="1" applyAlignment="1">
      <alignment horizontal="right"/>
    </xf>
    <xf numFmtId="0" fontId="25" fillId="17" borderId="0" xfId="0" applyFont="1" applyFill="1" applyAlignment="1">
      <alignment horizontal="right" vertical="center"/>
    </xf>
    <xf numFmtId="0" fontId="25" fillId="6" borderId="0" xfId="0" applyFont="1" applyFill="1" applyAlignment="1">
      <alignment horizontal="right" vertical="center"/>
    </xf>
    <xf numFmtId="0" fontId="25" fillId="18" borderId="0" xfId="0" applyFont="1" applyFill="1" applyAlignment="1">
      <alignment horizontal="right" vertical="center"/>
    </xf>
    <xf numFmtId="0" fontId="25" fillId="14" borderId="0" xfId="0" applyFont="1" applyFill="1" applyAlignment="1">
      <alignment horizontal="right" vertical="center"/>
    </xf>
    <xf numFmtId="0" fontId="25" fillId="15" borderId="0" xfId="0" applyFont="1" applyFill="1" applyAlignment="1">
      <alignment horizontal="right" vertical="center"/>
    </xf>
    <xf numFmtId="0" fontId="25" fillId="19" borderId="0" xfId="0" applyFont="1" applyFill="1" applyAlignment="1">
      <alignment horizontal="right" vertical="center"/>
    </xf>
    <xf numFmtId="0" fontId="25" fillId="16" borderId="0" xfId="0" applyFont="1" applyFill="1" applyAlignment="1">
      <alignment horizontal="right" vertical="center"/>
    </xf>
    <xf numFmtId="0" fontId="25" fillId="13" borderId="0" xfId="0" applyFont="1" applyFill="1" applyAlignment="1">
      <alignment horizontal="right" vertical="center"/>
    </xf>
    <xf numFmtId="0" fontId="49" fillId="0" borderId="43" xfId="0" applyFont="1" applyBorder="1" applyAlignment="1">
      <alignment vertical="center"/>
    </xf>
    <xf numFmtId="0" fontId="49" fillId="0" borderId="0" xfId="0" applyFont="1" applyAlignment="1">
      <alignment horizontal="left" vertical="center"/>
    </xf>
    <xf numFmtId="0" fontId="73" fillId="0" borderId="0" xfId="0" applyFont="1" applyAlignment="1">
      <alignment horizontal="left"/>
    </xf>
    <xf numFmtId="0" fontId="11" fillId="3" borderId="0" xfId="0" applyFont="1" applyFill="1" applyAlignment="1">
      <alignment vertical="center" wrapText="1"/>
    </xf>
    <xf numFmtId="0" fontId="13" fillId="3" borderId="0" xfId="0" applyFont="1" applyFill="1" applyAlignment="1">
      <alignment vertical="center" wrapText="1"/>
    </xf>
    <xf numFmtId="0" fontId="82" fillId="0" borderId="0" xfId="0" applyFont="1" applyAlignment="1">
      <alignment vertical="center"/>
    </xf>
    <xf numFmtId="0" fontId="11" fillId="5" borderId="0" xfId="0" applyFont="1" applyFill="1" applyAlignment="1" applyProtection="1">
      <alignment horizontal="center"/>
      <protection locked="0"/>
    </xf>
    <xf numFmtId="0" fontId="11" fillId="5" borderId="0" xfId="0" applyFont="1" applyFill="1" applyAlignment="1">
      <alignment vertical="center"/>
    </xf>
    <xf numFmtId="0" fontId="82" fillId="0" borderId="0" xfId="0" applyFont="1" applyAlignment="1" applyProtection="1">
      <alignment horizontal="center"/>
      <protection locked="0"/>
    </xf>
    <xf numFmtId="0" fontId="63" fillId="3" borderId="0" xfId="0" applyFont="1" applyFill="1" applyAlignment="1">
      <alignment horizontal="center" vertical="center"/>
    </xf>
    <xf numFmtId="0" fontId="63" fillId="3" borderId="0" xfId="0" applyFont="1" applyFill="1" applyAlignment="1">
      <alignment horizontal="left" vertical="center"/>
    </xf>
    <xf numFmtId="0" fontId="61" fillId="3" borderId="0" xfId="0" applyFont="1" applyFill="1" applyAlignment="1">
      <alignment horizontal="right" vertical="center"/>
    </xf>
    <xf numFmtId="171" fontId="64" fillId="3" borderId="0" xfId="0" applyNumberFormat="1" applyFont="1" applyFill="1" applyAlignment="1">
      <alignment horizontal="center" vertical="center"/>
    </xf>
    <xf numFmtId="0" fontId="67" fillId="0" borderId="0" xfId="0" applyFont="1" applyAlignment="1">
      <alignment vertical="center"/>
    </xf>
    <xf numFmtId="0" fontId="52" fillId="0" borderId="0" xfId="0" applyFont="1" applyAlignment="1">
      <alignment vertical="center"/>
    </xf>
    <xf numFmtId="14" fontId="11" fillId="0" borderId="0" xfId="0" applyNumberFormat="1" applyFont="1" applyAlignment="1">
      <alignment vertical="center"/>
    </xf>
    <xf numFmtId="0" fontId="83" fillId="3" borderId="0" xfId="0" applyFont="1" applyFill="1" applyAlignment="1">
      <alignment horizontal="left" vertical="center"/>
    </xf>
    <xf numFmtId="0" fontId="0" fillId="0" borderId="0" xfId="0" applyAlignment="1">
      <alignment horizontal="centerContinuous"/>
    </xf>
    <xf numFmtId="164" fontId="0" fillId="0" borderId="0" xfId="0" applyNumberFormat="1"/>
    <xf numFmtId="164" fontId="14" fillId="6" borderId="0" xfId="0" applyNumberFormat="1" applyFont="1" applyFill="1" applyAlignment="1">
      <alignment vertical="center"/>
    </xf>
    <xf numFmtId="164" fontId="34" fillId="18" borderId="0" xfId="0" applyNumberFormat="1" applyFont="1" applyFill="1" applyAlignment="1">
      <alignment horizontal="left" vertical="center"/>
    </xf>
    <xf numFmtId="164" fontId="11" fillId="14" borderId="0" xfId="0" applyNumberFormat="1" applyFont="1" applyFill="1" applyAlignment="1">
      <alignment vertical="center"/>
    </xf>
    <xf numFmtId="164" fontId="11" fillId="15" borderId="0" xfId="0" applyNumberFormat="1" applyFont="1" applyFill="1" applyAlignment="1">
      <alignment vertical="center"/>
    </xf>
    <xf numFmtId="164" fontId="11" fillId="19" borderId="0" xfId="0" applyNumberFormat="1" applyFont="1" applyFill="1" applyAlignment="1">
      <alignment vertical="center"/>
    </xf>
    <xf numFmtId="164" fontId="13" fillId="16" borderId="0" xfId="0" applyNumberFormat="1" applyFont="1" applyFill="1" applyAlignment="1">
      <alignment horizontal="right" vertical="center"/>
    </xf>
    <xf numFmtId="164" fontId="11" fillId="13" borderId="0" xfId="0" applyNumberFormat="1" applyFont="1" applyFill="1" applyAlignment="1">
      <alignment vertical="center"/>
    </xf>
    <xf numFmtId="0" fontId="85" fillId="0" borderId="0" xfId="0" applyFont="1" applyAlignment="1">
      <alignment vertical="center"/>
    </xf>
    <xf numFmtId="0" fontId="68" fillId="0" borderId="0" xfId="0" applyFont="1" applyAlignment="1">
      <alignment vertical="center" wrapText="1"/>
    </xf>
    <xf numFmtId="0" fontId="84" fillId="0" borderId="0" xfId="0" applyFont="1" applyAlignment="1">
      <alignment vertical="center" wrapText="1"/>
    </xf>
    <xf numFmtId="0" fontId="87" fillId="0" borderId="0" xfId="0" applyFont="1"/>
    <xf numFmtId="0" fontId="89" fillId="0" borderId="0" xfId="0" applyFont="1" applyAlignment="1">
      <alignment horizontal="right"/>
    </xf>
    <xf numFmtId="0" fontId="50" fillId="0" borderId="0" xfId="0" applyFont="1" applyAlignment="1">
      <alignment vertical="center"/>
    </xf>
    <xf numFmtId="0" fontId="0" fillId="0" borderId="0" xfId="0" applyAlignment="1">
      <alignment vertical="top" wrapText="1"/>
    </xf>
    <xf numFmtId="0" fontId="91" fillId="0" borderId="0" xfId="0" applyFont="1" applyAlignment="1" applyProtection="1">
      <alignment vertical="center"/>
      <protection locked="0"/>
    </xf>
    <xf numFmtId="0" fontId="11" fillId="0" borderId="0" xfId="0" applyFont="1" applyAlignment="1">
      <alignment vertical="center" shrinkToFit="1"/>
    </xf>
    <xf numFmtId="166" fontId="0" fillId="0" borderId="0" xfId="0" applyNumberFormat="1"/>
    <xf numFmtId="0" fontId="92" fillId="0" borderId="0" xfId="0" applyFont="1" applyAlignment="1">
      <alignment horizontal="center" vertical="center"/>
    </xf>
    <xf numFmtId="0" fontId="25" fillId="0" borderId="51" xfId="0" applyFont="1" applyBorder="1"/>
    <xf numFmtId="0" fontId="5" fillId="0" borderId="0" xfId="0" applyFont="1" applyAlignment="1">
      <alignment shrinkToFit="1"/>
    </xf>
    <xf numFmtId="0" fontId="16" fillId="27" borderId="0" xfId="0" applyFont="1" applyFill="1" applyAlignment="1" applyProtection="1">
      <alignment horizontal="center"/>
      <protection locked="0"/>
    </xf>
    <xf numFmtId="164" fontId="16" fillId="13" borderId="0" xfId="1" applyNumberFormat="1" applyFont="1" applyFill="1" applyBorder="1" applyAlignment="1">
      <alignment horizontal="right" vertical="center" wrapText="1"/>
    </xf>
    <xf numFmtId="0" fontId="0" fillId="0" borderId="0" xfId="0" applyAlignment="1" applyProtection="1">
      <alignment horizontal="center" wrapText="1"/>
      <protection locked="0"/>
    </xf>
    <xf numFmtId="0" fontId="0" fillId="0" borderId="0" xfId="0" applyAlignment="1">
      <alignment vertical="center" wrapText="1"/>
    </xf>
    <xf numFmtId="164" fontId="16" fillId="15" borderId="0" xfId="1" applyNumberFormat="1" applyFont="1" applyFill="1" applyBorder="1" applyAlignment="1">
      <alignment horizontal="right" vertical="center" wrapText="1"/>
    </xf>
    <xf numFmtId="1" fontId="0" fillId="0" borderId="0" xfId="0" applyNumberFormat="1"/>
    <xf numFmtId="0" fontId="15" fillId="3" borderId="0" xfId="0" applyFont="1" applyFill="1" applyAlignment="1">
      <alignment vertical="center"/>
    </xf>
    <xf numFmtId="0" fontId="16" fillId="3" borderId="0" xfId="0" applyFont="1" applyFill="1" applyAlignment="1">
      <alignment vertical="center"/>
    </xf>
    <xf numFmtId="0" fontId="16" fillId="3" borderId="0" xfId="0" applyFont="1" applyFill="1" applyAlignment="1">
      <alignment horizontal="left" vertical="center"/>
    </xf>
    <xf numFmtId="0" fontId="11" fillId="2" borderId="38" xfId="0" applyFont="1" applyFill="1" applyBorder="1" applyAlignment="1">
      <alignment vertical="center"/>
    </xf>
    <xf numFmtId="0" fontId="14" fillId="2" borderId="38" xfId="0" applyFont="1" applyFill="1" applyBorder="1" applyAlignment="1">
      <alignment vertical="center"/>
    </xf>
    <xf numFmtId="0" fontId="93" fillId="28" borderId="0" xfId="0" applyFont="1" applyFill="1" applyAlignment="1" applyProtection="1">
      <alignment horizontal="center" vertical="center"/>
      <protection locked="0"/>
    </xf>
    <xf numFmtId="0" fontId="94" fillId="28" borderId="0" xfId="0" applyFont="1" applyFill="1" applyAlignment="1" applyProtection="1">
      <alignment horizontal="center" vertical="center"/>
      <protection locked="0"/>
    </xf>
    <xf numFmtId="0" fontId="16" fillId="2" borderId="0" xfId="0" applyFont="1" applyFill="1" applyAlignment="1">
      <alignment horizontal="left" vertical="center"/>
    </xf>
    <xf numFmtId="0" fontId="50" fillId="0" borderId="0" xfId="0" applyFont="1" applyAlignment="1">
      <alignment horizontal="right" vertical="center"/>
    </xf>
    <xf numFmtId="0" fontId="50" fillId="0" borderId="0" xfId="0" applyFont="1" applyAlignment="1">
      <alignment horizontal="center" vertical="center"/>
    </xf>
    <xf numFmtId="0" fontId="105" fillId="0" borderId="0" xfId="0" applyFont="1" applyAlignment="1">
      <alignment vertical="center"/>
    </xf>
    <xf numFmtId="0" fontId="94" fillId="0" borderId="0" xfId="0" applyFont="1" applyAlignment="1" applyProtection="1">
      <alignment vertical="center"/>
      <protection locked="0"/>
    </xf>
    <xf numFmtId="0" fontId="25" fillId="0" borderId="7" xfId="0" applyFont="1" applyBorder="1" applyAlignment="1" applyProtection="1">
      <alignment vertical="center"/>
      <protection locked="0"/>
    </xf>
    <xf numFmtId="0" fontId="16" fillId="0" borderId="7"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16" fillId="0" borderId="7" xfId="0" applyFont="1" applyBorder="1" applyAlignment="1" applyProtection="1">
      <alignment vertical="center"/>
      <protection locked="0"/>
    </xf>
    <xf numFmtId="0" fontId="16" fillId="29" borderId="0" xfId="0" applyFont="1" applyFill="1" applyAlignment="1" applyProtection="1">
      <alignment horizontal="center" vertical="center"/>
      <protection locked="0"/>
    </xf>
    <xf numFmtId="1" fontId="16" fillId="0" borderId="0" xfId="0" applyNumberFormat="1" applyFont="1" applyAlignment="1" applyProtection="1">
      <alignment horizontal="center" vertical="center"/>
      <protection locked="0"/>
    </xf>
    <xf numFmtId="0" fontId="11" fillId="0" borderId="10" xfId="0" applyFont="1" applyBorder="1" applyAlignment="1">
      <alignment vertical="center"/>
    </xf>
    <xf numFmtId="0" fontId="94" fillId="30" borderId="0" xfId="0" applyFont="1" applyFill="1" applyAlignment="1" applyProtection="1">
      <alignment vertical="center"/>
      <protection locked="0"/>
    </xf>
    <xf numFmtId="0" fontId="11" fillId="2" borderId="0" xfId="0" applyFont="1" applyFill="1" applyAlignment="1">
      <alignment vertical="center"/>
    </xf>
    <xf numFmtId="0" fontId="106" fillId="0" borderId="0" xfId="0" applyFont="1"/>
    <xf numFmtId="0" fontId="0" fillId="27" borderId="0" xfId="0" applyFill="1" applyProtection="1">
      <protection locked="0"/>
    </xf>
    <xf numFmtId="14" fontId="25" fillId="17" borderId="0" xfId="0" applyNumberFormat="1" applyFont="1" applyFill="1" applyAlignment="1">
      <alignment horizontal="right"/>
    </xf>
    <xf numFmtId="0" fontId="14" fillId="0" borderId="0" xfId="0" applyFont="1" applyAlignment="1">
      <alignment vertical="center" shrinkToFit="1"/>
    </xf>
    <xf numFmtId="0" fontId="16" fillId="27" borderId="0" xfId="0" applyFont="1" applyFill="1" applyAlignment="1" applyProtection="1">
      <alignment vertical="center"/>
      <protection locked="0"/>
    </xf>
    <xf numFmtId="0" fontId="73" fillId="0" borderId="0" xfId="0" applyFont="1" applyAlignment="1">
      <alignment horizontal="center"/>
    </xf>
    <xf numFmtId="0" fontId="49" fillId="0" borderId="40" xfId="0" applyFont="1" applyBorder="1" applyAlignment="1">
      <alignment horizontal="left" vertical="center"/>
    </xf>
    <xf numFmtId="0" fontId="49" fillId="0" borderId="40" xfId="0" applyFont="1" applyBorder="1" applyAlignment="1">
      <alignment horizontal="left" vertical="center" wrapText="1"/>
    </xf>
    <xf numFmtId="0" fontId="49" fillId="0" borderId="0" xfId="0" applyFont="1" applyAlignment="1">
      <alignment horizontal="left" vertical="center" wrapText="1"/>
    </xf>
    <xf numFmtId="0" fontId="49" fillId="3" borderId="0" xfId="0" applyFont="1" applyFill="1" applyAlignment="1">
      <alignment horizontal="left" vertical="center"/>
    </xf>
    <xf numFmtId="0" fontId="107" fillId="0" borderId="0" xfId="0" applyFont="1" applyAlignment="1">
      <alignment horizontal="left" vertical="center"/>
    </xf>
    <xf numFmtId="0" fontId="49" fillId="3" borderId="0" xfId="0" applyFont="1" applyFill="1" applyAlignment="1">
      <alignment vertical="center"/>
    </xf>
    <xf numFmtId="0" fontId="49" fillId="0" borderId="0" xfId="0" applyFont="1"/>
    <xf numFmtId="0" fontId="49" fillId="0" borderId="0" xfId="0" applyFont="1" applyAlignment="1">
      <alignment horizontal="center"/>
    </xf>
    <xf numFmtId="0" fontId="49" fillId="0" borderId="0" xfId="0" applyFont="1" applyAlignment="1">
      <alignment horizontal="center" vertical="center"/>
    </xf>
    <xf numFmtId="0" fontId="49" fillId="0" borderId="0" xfId="0" applyFont="1" applyAlignment="1">
      <alignment horizontal="right" vertical="center" indent="2"/>
    </xf>
    <xf numFmtId="14" fontId="49" fillId="0" borderId="0" xfId="0" applyNumberFormat="1" applyFont="1" applyAlignment="1">
      <alignment vertical="center"/>
    </xf>
    <xf numFmtId="0" fontId="49" fillId="18" borderId="0" xfId="0" applyFont="1" applyFill="1" applyAlignment="1">
      <alignment horizontal="center"/>
    </xf>
    <xf numFmtId="0" fontId="49" fillId="18" borderId="0" xfId="0" applyFont="1" applyFill="1" applyAlignment="1">
      <alignment horizontal="center" vertical="center"/>
    </xf>
    <xf numFmtId="0" fontId="49" fillId="15" borderId="0" xfId="0" applyFont="1" applyFill="1" applyAlignment="1">
      <alignment horizontal="center"/>
    </xf>
    <xf numFmtId="0" fontId="49" fillId="15" borderId="0" xfId="0" applyFont="1" applyFill="1" applyAlignment="1">
      <alignment horizontal="center" vertical="center"/>
    </xf>
    <xf numFmtId="0" fontId="49" fillId="19" borderId="0" xfId="0" applyFont="1" applyFill="1" applyAlignment="1">
      <alignment horizontal="left" vertical="center"/>
    </xf>
    <xf numFmtId="0" fontId="49" fillId="19" borderId="0" xfId="0" applyFont="1" applyFill="1" applyAlignment="1">
      <alignment vertical="center"/>
    </xf>
    <xf numFmtId="0" fontId="49" fillId="16" borderId="0" xfId="0" applyFont="1" applyFill="1" applyAlignment="1">
      <alignment horizontal="center"/>
    </xf>
    <xf numFmtId="0" fontId="49" fillId="16" borderId="0" xfId="0" applyFont="1" applyFill="1" applyAlignment="1">
      <alignment horizontal="center" vertical="center"/>
    </xf>
    <xf numFmtId="0" fontId="49" fillId="13" borderId="0" xfId="0" applyFont="1" applyFill="1" applyAlignment="1">
      <alignment horizontal="center"/>
    </xf>
    <xf numFmtId="0" fontId="49" fillId="13" borderId="0" xfId="0" applyFont="1" applyFill="1" applyAlignment="1">
      <alignment horizontal="center" vertical="center"/>
    </xf>
    <xf numFmtId="0" fontId="49" fillId="2" borderId="0" xfId="0" applyFont="1" applyFill="1" applyAlignment="1">
      <alignment horizontal="centerContinuous"/>
    </xf>
    <xf numFmtId="0" fontId="107" fillId="2" borderId="0" xfId="0" applyFont="1" applyFill="1" applyAlignment="1">
      <alignment horizontal="centerContinuous"/>
    </xf>
    <xf numFmtId="0" fontId="49" fillId="2" borderId="0" xfId="0" applyFont="1" applyFill="1" applyAlignment="1">
      <alignment horizontal="centerContinuous" vertical="center"/>
    </xf>
    <xf numFmtId="0" fontId="49" fillId="17" borderId="0" xfId="0" applyFont="1" applyFill="1"/>
    <xf numFmtId="0" fontId="49" fillId="0" borderId="0" xfId="0" applyFont="1" applyAlignment="1">
      <alignment horizontal="right"/>
    </xf>
    <xf numFmtId="0" fontId="108" fillId="0" borderId="0" xfId="0" applyFont="1" applyAlignment="1">
      <alignment horizontal="right"/>
    </xf>
    <xf numFmtId="166" fontId="25" fillId="0" borderId="46" xfId="0" applyNumberFormat="1" applyFont="1" applyBorder="1"/>
    <xf numFmtId="0" fontId="21" fillId="0" borderId="0" xfId="0" applyFont="1" applyAlignment="1">
      <alignment horizontal="center"/>
    </xf>
    <xf numFmtId="0" fontId="109" fillId="0" borderId="0" xfId="0" applyFont="1" applyAlignment="1">
      <alignment horizontal="center"/>
    </xf>
    <xf numFmtId="0" fontId="111" fillId="0" borderId="0" xfId="0" applyFont="1"/>
    <xf numFmtId="174" fontId="109" fillId="0" borderId="0" xfId="0" applyNumberFormat="1" applyFont="1" applyAlignment="1">
      <alignment horizontal="center"/>
    </xf>
    <xf numFmtId="0" fontId="25" fillId="0" borderId="52" xfId="0" applyFont="1" applyBorder="1" applyAlignment="1">
      <alignment horizontal="right" shrinkToFit="1"/>
    </xf>
    <xf numFmtId="0" fontId="0" fillId="3" borderId="0" xfId="0" applyFill="1" applyAlignment="1">
      <alignment horizontal="center"/>
    </xf>
    <xf numFmtId="0" fontId="0" fillId="3" borderId="0" xfId="0" applyFill="1"/>
    <xf numFmtId="0" fontId="113" fillId="0" borderId="0" xfId="0" applyFont="1"/>
    <xf numFmtId="0" fontId="21" fillId="0" borderId="0" xfId="0" applyFont="1"/>
    <xf numFmtId="0" fontId="25" fillId="17" borderId="0" xfId="0" applyFont="1" applyFill="1" applyAlignment="1">
      <alignment horizontal="center"/>
    </xf>
    <xf numFmtId="0" fontId="25" fillId="6" borderId="0" xfId="0" applyFont="1" applyFill="1" applyAlignment="1">
      <alignment horizontal="center"/>
    </xf>
    <xf numFmtId="0" fontId="25" fillId="18" borderId="0" xfId="0" applyFont="1" applyFill="1" applyAlignment="1">
      <alignment horizontal="center"/>
    </xf>
    <xf numFmtId="0" fontId="25" fillId="14" borderId="0" xfId="0" applyFont="1" applyFill="1" applyAlignment="1">
      <alignment horizontal="center"/>
    </xf>
    <xf numFmtId="0" fontId="25" fillId="15" borderId="0" xfId="0" applyFont="1" applyFill="1" applyAlignment="1">
      <alignment horizontal="center"/>
    </xf>
    <xf numFmtId="0" fontId="25" fillId="19" borderId="0" xfId="0" applyFont="1" applyFill="1" applyAlignment="1">
      <alignment horizontal="center"/>
    </xf>
    <xf numFmtId="0" fontId="25" fillId="16" borderId="0" xfId="0" applyFont="1" applyFill="1" applyAlignment="1">
      <alignment horizontal="center"/>
    </xf>
    <xf numFmtId="0" fontId="25" fillId="13" borderId="0" xfId="0" applyFont="1" applyFill="1" applyAlignment="1">
      <alignment horizontal="center"/>
    </xf>
    <xf numFmtId="0" fontId="115" fillId="2" borderId="0" xfId="0" applyFont="1" applyFill="1" applyAlignment="1">
      <alignment horizontal="centerContinuous"/>
    </xf>
    <xf numFmtId="0" fontId="25" fillId="19" borderId="0" xfId="0" applyFont="1" applyFill="1" applyAlignment="1">
      <alignment horizontal="center" vertical="top" textRotation="90"/>
    </xf>
    <xf numFmtId="0" fontId="25" fillId="2" borderId="0" xfId="0" applyFont="1" applyFill="1" applyAlignment="1">
      <alignment horizontal="centerContinuous" vertical="top"/>
    </xf>
    <xf numFmtId="0" fontId="25" fillId="16" borderId="0" xfId="0" applyFont="1" applyFill="1" applyAlignment="1">
      <alignment horizontal="center" vertical="top" textRotation="90"/>
    </xf>
    <xf numFmtId="0" fontId="25" fillId="17" borderId="0" xfId="0" applyFont="1" applyFill="1" applyAlignment="1">
      <alignment horizontal="center" textRotation="90" shrinkToFit="1"/>
    </xf>
    <xf numFmtId="0" fontId="25" fillId="6" borderId="0" xfId="0" applyFont="1" applyFill="1" applyAlignment="1">
      <alignment horizontal="center" textRotation="90" shrinkToFit="1"/>
    </xf>
    <xf numFmtId="0" fontId="25" fillId="18" borderId="0" xfId="0" applyFont="1" applyFill="1" applyAlignment="1">
      <alignment horizontal="center" textRotation="90" shrinkToFit="1"/>
    </xf>
    <xf numFmtId="0" fontId="25" fillId="14" borderId="0" xfId="0" applyFont="1" applyFill="1" applyAlignment="1">
      <alignment horizontal="center" textRotation="90" shrinkToFit="1"/>
    </xf>
    <xf numFmtId="0" fontId="25" fillId="15" borderId="0" xfId="0" applyFont="1" applyFill="1" applyAlignment="1">
      <alignment horizontal="center" textRotation="90" shrinkToFit="1"/>
    </xf>
    <xf numFmtId="0" fontId="25" fillId="19" borderId="0" xfId="0" applyFont="1" applyFill="1" applyAlignment="1">
      <alignment horizontal="center" textRotation="90" wrapText="1" shrinkToFit="1"/>
    </xf>
    <xf numFmtId="0" fontId="25" fillId="19" borderId="0" xfId="0" applyFont="1" applyFill="1" applyAlignment="1">
      <alignment horizontal="center" textRotation="90" shrinkToFit="1"/>
    </xf>
    <xf numFmtId="0" fontId="25" fillId="16" borderId="0" xfId="0" applyFont="1" applyFill="1" applyAlignment="1">
      <alignment horizontal="center" textRotation="90" shrinkToFit="1"/>
    </xf>
    <xf numFmtId="0" fontId="25" fillId="13" borderId="0" xfId="0" applyFont="1" applyFill="1" applyAlignment="1">
      <alignment horizontal="center" vertical="top" textRotation="90" shrinkToFit="1"/>
    </xf>
    <xf numFmtId="0" fontId="115" fillId="2" borderId="0" xfId="0" applyFont="1" applyFill="1" applyAlignment="1">
      <alignment horizontal="centerContinuous" vertical="center"/>
    </xf>
    <xf numFmtId="0" fontId="49" fillId="0" borderId="39" xfId="0" applyFont="1" applyBorder="1" applyAlignment="1">
      <alignment horizontal="left" vertical="center" wrapText="1"/>
    </xf>
    <xf numFmtId="0" fontId="116" fillId="0" borderId="0" xfId="0" applyFont="1"/>
    <xf numFmtId="0" fontId="49" fillId="0" borderId="0" xfId="0" applyFont="1" applyAlignment="1">
      <alignment horizontal="right" vertical="center"/>
    </xf>
    <xf numFmtId="0" fontId="16" fillId="0" borderId="53" xfId="0" applyFont="1" applyBorder="1"/>
    <xf numFmtId="0" fontId="117" fillId="0" borderId="0" xfId="0" applyFont="1" applyAlignment="1">
      <alignment horizontal="centerContinuous"/>
    </xf>
    <xf numFmtId="0" fontId="107" fillId="0" borderId="0" xfId="0" applyFont="1" applyAlignment="1">
      <alignment horizontal="right" vertical="center"/>
    </xf>
    <xf numFmtId="0" fontId="16" fillId="29" borderId="0" xfId="0" applyFont="1" applyFill="1" applyAlignment="1" applyProtection="1">
      <alignment vertical="center"/>
      <protection locked="0"/>
    </xf>
    <xf numFmtId="0" fontId="27" fillId="0" borderId="0" xfId="0" applyFont="1" applyAlignment="1">
      <alignment vertical="top" wrapText="1"/>
    </xf>
    <xf numFmtId="0" fontId="27" fillId="0" borderId="0" xfId="0" applyFont="1" applyAlignment="1">
      <alignment horizontal="center" vertical="top" wrapText="1"/>
    </xf>
    <xf numFmtId="0" fontId="0" fillId="11" borderId="0" xfId="0" applyFill="1" applyAlignment="1">
      <alignment horizontal="center"/>
    </xf>
    <xf numFmtId="0" fontId="0" fillId="5" borderId="0" xfId="0" applyFill="1" applyAlignment="1">
      <alignment horizontal="center"/>
    </xf>
    <xf numFmtId="0" fontId="0" fillId="27" borderId="0" xfId="0" applyFill="1" applyAlignment="1">
      <alignment horizontal="center"/>
    </xf>
    <xf numFmtId="166" fontId="44" fillId="0" borderId="0" xfId="0" applyNumberFormat="1" applyFont="1"/>
    <xf numFmtId="0" fontId="16" fillId="31" borderId="0" xfId="0" applyFont="1" applyFill="1" applyAlignment="1" applyProtection="1">
      <alignment horizontal="center" vertical="center"/>
      <protection locked="0"/>
    </xf>
    <xf numFmtId="0" fontId="25" fillId="31" borderId="0" xfId="0" applyFont="1" applyFill="1" applyAlignment="1" applyProtection="1">
      <alignment horizontal="center" vertical="center"/>
      <protection locked="0"/>
    </xf>
    <xf numFmtId="0" fontId="25" fillId="20" borderId="0" xfId="4" applyFont="1" applyFill="1" applyBorder="1" applyAlignment="1" applyProtection="1">
      <alignment vertical="center"/>
    </xf>
    <xf numFmtId="0" fontId="42" fillId="20" borderId="0" xfId="4" applyFill="1" applyBorder="1" applyAlignment="1" applyProtection="1">
      <alignment vertical="center"/>
    </xf>
    <xf numFmtId="0" fontId="0" fillId="0" borderId="0" xfId="0" applyAlignment="1">
      <alignment wrapText="1" shrinkToFit="1"/>
    </xf>
    <xf numFmtId="0" fontId="40" fillId="0" borderId="0" xfId="0" applyFont="1" applyAlignment="1">
      <alignment wrapText="1"/>
    </xf>
    <xf numFmtId="0" fontId="85" fillId="0" borderId="0" xfId="0" applyFont="1" applyAlignment="1">
      <alignment vertical="center" wrapText="1"/>
    </xf>
    <xf numFmtId="0" fontId="25" fillId="19" borderId="0" xfId="0" applyFont="1" applyFill="1" applyAlignment="1">
      <alignment horizontal="center" vertical="top" textRotation="90" shrinkToFit="1"/>
    </xf>
    <xf numFmtId="0" fontId="25" fillId="13" borderId="0" xfId="0" applyFont="1" applyFill="1" applyAlignment="1">
      <alignment horizontal="center" textRotation="90" shrinkToFit="1"/>
    </xf>
    <xf numFmtId="0" fontId="25" fillId="17" borderId="0" xfId="0" applyFont="1" applyFill="1" applyAlignment="1">
      <alignment horizontal="center" vertical="top" textRotation="90" shrinkToFit="1"/>
    </xf>
    <xf numFmtId="0" fontId="25" fillId="16" borderId="0" xfId="0" applyFont="1" applyFill="1" applyAlignment="1">
      <alignment horizontal="center" vertical="top" textRotation="90" shrinkToFit="1"/>
    </xf>
    <xf numFmtId="0" fontId="25" fillId="17" borderId="0" xfId="0" applyFont="1" applyFill="1" applyAlignment="1">
      <alignment horizontal="center" vertical="top" textRotation="90"/>
    </xf>
    <xf numFmtId="0" fontId="25" fillId="18" borderId="0" xfId="0" applyFont="1" applyFill="1" applyAlignment="1">
      <alignment horizontal="center" vertical="top" textRotation="90" shrinkToFit="1"/>
    </xf>
    <xf numFmtId="0" fontId="25" fillId="18" borderId="0" xfId="0" applyFont="1" applyFill="1" applyAlignment="1">
      <alignment horizontal="center" vertical="top" textRotation="90"/>
    </xf>
    <xf numFmtId="0" fontId="25" fillId="15" borderId="0" xfId="0" applyFont="1" applyFill="1" applyAlignment="1">
      <alignment horizontal="center" vertical="top" textRotation="90" shrinkToFit="1"/>
    </xf>
    <xf numFmtId="0" fontId="25" fillId="15" borderId="0" xfId="0" applyFont="1" applyFill="1" applyAlignment="1">
      <alignment horizontal="center" vertical="top" textRotation="90"/>
    </xf>
    <xf numFmtId="0" fontId="40" fillId="32" borderId="0" xfId="0" applyFont="1" applyFill="1"/>
    <xf numFmtId="0" fontId="125" fillId="0" borderId="0" xfId="0" applyFont="1"/>
    <xf numFmtId="0" fontId="19" fillId="0" borderId="0" xfId="0" applyFont="1" applyProtection="1">
      <protection locked="0"/>
    </xf>
    <xf numFmtId="0" fontId="40" fillId="33" borderId="0" xfId="0" applyFont="1" applyFill="1"/>
    <xf numFmtId="0" fontId="40" fillId="34" borderId="0" xfId="0" applyFont="1" applyFill="1"/>
    <xf numFmtId="0" fontId="40" fillId="31" borderId="0" xfId="0" applyFont="1" applyFill="1" applyAlignment="1">
      <alignment horizontal="left"/>
    </xf>
    <xf numFmtId="0" fontId="40" fillId="31" borderId="0" xfId="0" applyFont="1" applyFill="1"/>
    <xf numFmtId="164" fontId="40" fillId="0" borderId="0" xfId="0" applyNumberFormat="1" applyFont="1"/>
    <xf numFmtId="2" fontId="0" fillId="0" borderId="0" xfId="0" applyNumberFormat="1"/>
    <xf numFmtId="0" fontId="0" fillId="0" borderId="0" xfId="0" applyAlignment="1" applyProtection="1">
      <alignment horizontal="left"/>
      <protection locked="0"/>
    </xf>
    <xf numFmtId="0" fontId="0" fillId="0" borderId="0" xfId="0" applyAlignment="1" applyProtection="1">
      <alignment horizontal="right" indent="1"/>
      <protection locked="0"/>
    </xf>
    <xf numFmtId="0" fontId="113" fillId="7" borderId="0" xfId="0" applyFont="1" applyFill="1" applyAlignment="1">
      <alignment horizontal="center"/>
    </xf>
    <xf numFmtId="0" fontId="117" fillId="8" borderId="0" xfId="0" applyFont="1" applyFill="1" applyAlignment="1">
      <alignment horizontal="center"/>
    </xf>
    <xf numFmtId="0" fontId="11" fillId="0" borderId="0" xfId="0" applyFont="1" applyAlignment="1">
      <alignment wrapText="1"/>
    </xf>
    <xf numFmtId="0" fontId="126" fillId="0" borderId="0" xfId="0" applyFont="1" applyAlignment="1">
      <alignment horizontal="right" wrapText="1"/>
    </xf>
    <xf numFmtId="0" fontId="126" fillId="0" borderId="0" xfId="0" applyFont="1" applyAlignment="1">
      <alignment horizontal="centerContinuous" wrapText="1"/>
    </xf>
    <xf numFmtId="0" fontId="126" fillId="0" borderId="0" xfId="0" applyFont="1" applyAlignment="1">
      <alignment horizontal="center" wrapText="1"/>
    </xf>
    <xf numFmtId="0" fontId="11" fillId="0" borderId="0" xfId="0" applyFont="1" applyAlignment="1">
      <alignment horizontal="center" wrapText="1"/>
    </xf>
    <xf numFmtId="0" fontId="11" fillId="0" borderId="0" xfId="0" applyFont="1" applyAlignment="1">
      <alignment horizontal="centerContinuous" wrapText="1"/>
    </xf>
    <xf numFmtId="0" fontId="96" fillId="0" borderId="0" xfId="0" applyFont="1"/>
    <xf numFmtId="0" fontId="11" fillId="0" borderId="0" xfId="0" applyFont="1" applyAlignment="1">
      <alignment horizontal="center" vertical="top" wrapText="1"/>
    </xf>
    <xf numFmtId="0" fontId="11" fillId="0" borderId="0" xfId="0" applyFont="1" applyAlignment="1">
      <alignment horizontal="center" vertical="top"/>
    </xf>
    <xf numFmtId="0" fontId="95" fillId="0" borderId="0" xfId="0" applyFont="1"/>
    <xf numFmtId="0" fontId="127" fillId="0" borderId="0" xfId="0" applyFont="1"/>
    <xf numFmtId="0" fontId="95" fillId="0" borderId="0" xfId="0" applyFont="1" applyAlignment="1">
      <alignment horizontal="center" vertical="center"/>
    </xf>
    <xf numFmtId="0" fontId="95" fillId="0" borderId="0" xfId="0" applyFont="1" applyAlignment="1">
      <alignment horizontal="center" vertical="center" wrapText="1"/>
    </xf>
    <xf numFmtId="0" fontId="95" fillId="0" borderId="0" xfId="0" applyFont="1" applyAlignment="1">
      <alignment horizontal="center"/>
    </xf>
    <xf numFmtId="0" fontId="95" fillId="0" borderId="0" xfId="0" applyFont="1" applyAlignment="1">
      <alignment horizontal="left"/>
    </xf>
    <xf numFmtId="0" fontId="95" fillId="0" borderId="0" xfId="0" applyFont="1" applyAlignment="1">
      <alignment vertical="center"/>
    </xf>
    <xf numFmtId="0" fontId="127" fillId="0" borderId="0" xfId="0" applyFont="1" applyAlignment="1">
      <alignment vertical="center"/>
    </xf>
    <xf numFmtId="1" fontId="95" fillId="0" borderId="0" xfId="0" applyNumberFormat="1" applyFont="1" applyAlignment="1">
      <alignment horizontal="center" vertical="center"/>
    </xf>
    <xf numFmtId="0" fontId="95" fillId="0" borderId="0" xfId="0" applyFont="1" applyAlignment="1">
      <alignment horizontal="left" vertical="center"/>
    </xf>
    <xf numFmtId="0" fontId="22" fillId="0" borderId="0" xfId="0" applyFont="1" applyAlignment="1">
      <alignment horizontal="center"/>
    </xf>
    <xf numFmtId="0" fontId="22" fillId="0" borderId="0" xfId="0" applyFont="1" applyAlignment="1">
      <alignment horizontal="center" vertical="top"/>
    </xf>
    <xf numFmtId="1" fontId="0" fillId="0" borderId="0" xfId="0" applyNumberFormat="1" applyAlignment="1">
      <alignment horizontal="center"/>
    </xf>
    <xf numFmtId="174" fontId="0" fillId="0" borderId="0" xfId="0" applyNumberFormat="1" applyAlignment="1">
      <alignment horizontal="center"/>
    </xf>
    <xf numFmtId="0" fontId="128" fillId="21" borderId="0" xfId="0" applyFont="1" applyFill="1"/>
    <xf numFmtId="0" fontId="38" fillId="35" borderId="0" xfId="0" applyFont="1" applyFill="1"/>
    <xf numFmtId="0" fontId="46" fillId="35" borderId="18" xfId="0" applyFont="1" applyFill="1" applyBorder="1" applyAlignment="1">
      <alignment vertical="top"/>
    </xf>
    <xf numFmtId="0" fontId="8" fillId="35" borderId="0" xfId="0" applyFont="1" applyFill="1" applyAlignment="1">
      <alignment vertical="top"/>
    </xf>
    <xf numFmtId="166" fontId="11" fillId="35" borderId="12" xfId="0" applyNumberFormat="1" applyFont="1" applyFill="1" applyBorder="1" applyAlignment="1">
      <alignment horizontal="right" vertical="center" shrinkToFit="1"/>
    </xf>
    <xf numFmtId="0" fontId="38" fillId="35" borderId="0" xfId="0" applyFont="1" applyFill="1" applyAlignment="1">
      <alignment wrapText="1"/>
    </xf>
    <xf numFmtId="0" fontId="44" fillId="35" borderId="0" xfId="0" applyFont="1" applyFill="1"/>
    <xf numFmtId="0" fontId="2" fillId="0" borderId="0" xfId="0" applyFont="1" applyAlignment="1">
      <alignment vertical="center"/>
    </xf>
    <xf numFmtId="0" fontId="128" fillId="21" borderId="0" xfId="0" applyFont="1" applyFill="1" applyAlignment="1">
      <alignment vertical="top"/>
    </xf>
    <xf numFmtId="0" fontId="1" fillId="0" borderId="0" xfId="0" applyFont="1" applyAlignment="1">
      <alignment vertical="center"/>
    </xf>
    <xf numFmtId="0" fontId="13" fillId="0" borderId="0" xfId="0" applyFont="1" applyAlignment="1">
      <alignment horizontal="center" wrapText="1"/>
    </xf>
    <xf numFmtId="0" fontId="30" fillId="0" borderId="0" xfId="0" applyFont="1" applyAlignment="1">
      <alignment horizontal="center" vertical="center"/>
    </xf>
    <xf numFmtId="1" fontId="30" fillId="0" borderId="0" xfId="0" applyNumberFormat="1" applyFont="1" applyAlignment="1">
      <alignment horizontal="center" vertical="center"/>
    </xf>
    <xf numFmtId="0" fontId="30" fillId="3" borderId="0" xfId="0" applyFont="1" applyFill="1" applyAlignment="1">
      <alignment horizontal="center" vertical="center" wrapText="1"/>
    </xf>
    <xf numFmtId="0" fontId="30" fillId="0" borderId="0" xfId="0" applyFont="1" applyAlignment="1">
      <alignment horizontal="center" vertical="center" wrapText="1"/>
    </xf>
    <xf numFmtId="1" fontId="129" fillId="0" borderId="0" xfId="0" applyNumberFormat="1" applyFont="1" applyAlignment="1">
      <alignment horizontal="center" vertical="center"/>
    </xf>
    <xf numFmtId="1" fontId="30" fillId="3" borderId="0" xfId="0" applyNumberFormat="1" applyFont="1" applyFill="1" applyAlignment="1">
      <alignment horizontal="center" vertical="center"/>
    </xf>
    <xf numFmtId="2" fontId="29" fillId="0" borderId="0" xfId="0" applyNumberFormat="1" applyFont="1" applyAlignment="1">
      <alignment horizontal="center" vertical="center"/>
    </xf>
    <xf numFmtId="1" fontId="95" fillId="3" borderId="0" xfId="0" applyNumberFormat="1" applyFont="1" applyFill="1" applyAlignment="1">
      <alignment horizontal="center" vertical="center"/>
    </xf>
    <xf numFmtId="0" fontId="11" fillId="3" borderId="0" xfId="0" applyFont="1" applyFill="1" applyAlignment="1">
      <alignment horizontal="center" vertical="top" wrapText="1"/>
    </xf>
    <xf numFmtId="0" fontId="22" fillId="3" borderId="0" xfId="0" applyFont="1" applyFill="1" applyAlignment="1">
      <alignment horizontal="center"/>
    </xf>
    <xf numFmtId="174" fontId="106" fillId="0" borderId="0" xfId="0" applyNumberFormat="1" applyFont="1" applyAlignment="1">
      <alignment horizontal="center"/>
    </xf>
    <xf numFmtId="1" fontId="106" fillId="0" borderId="0" xfId="0" applyNumberFormat="1" applyFont="1" applyAlignment="1">
      <alignment horizontal="center"/>
    </xf>
    <xf numFmtId="1" fontId="106" fillId="3" borderId="0" xfId="0" applyNumberFormat="1" applyFont="1" applyFill="1" applyAlignment="1">
      <alignment horizontal="center"/>
    </xf>
    <xf numFmtId="0" fontId="106" fillId="0" borderId="0" xfId="0" applyFont="1" applyAlignment="1">
      <alignment horizontal="center"/>
    </xf>
    <xf numFmtId="0" fontId="106" fillId="3" borderId="0" xfId="0" applyFont="1" applyFill="1" applyAlignment="1">
      <alignment horizontal="center"/>
    </xf>
    <xf numFmtId="175" fontId="17" fillId="0" borderId="0" xfId="0" applyNumberFormat="1" applyFont="1"/>
    <xf numFmtId="0" fontId="130" fillId="0" borderId="0" xfId="0" applyFont="1"/>
    <xf numFmtId="0" fontId="16" fillId="5" borderId="0" xfId="0" applyFont="1" applyFill="1" applyAlignment="1" applyProtection="1">
      <alignment vertical="center"/>
      <protection locked="0"/>
    </xf>
    <xf numFmtId="0" fontId="93" fillId="0" borderId="0" xfId="0" applyFont="1" applyAlignment="1" applyProtection="1">
      <alignment vertical="center"/>
      <protection locked="0"/>
    </xf>
    <xf numFmtId="0" fontId="16" fillId="36" borderId="0" xfId="0" applyFont="1" applyFill="1" applyAlignment="1" applyProtection="1">
      <alignment vertical="center"/>
      <protection locked="0"/>
    </xf>
    <xf numFmtId="0" fontId="131" fillId="36" borderId="0" xfId="0" applyFont="1" applyFill="1" applyAlignment="1" applyProtection="1">
      <alignment vertical="center"/>
      <protection locked="0"/>
    </xf>
    <xf numFmtId="0" fontId="16" fillId="37" borderId="0" xfId="0" applyFont="1" applyFill="1" applyAlignment="1" applyProtection="1">
      <alignment vertical="center"/>
      <protection locked="0"/>
    </xf>
    <xf numFmtId="0" fontId="16" fillId="34" borderId="0" xfId="0" applyFont="1" applyFill="1" applyAlignment="1" applyProtection="1">
      <alignment vertical="center"/>
      <protection locked="0"/>
    </xf>
    <xf numFmtId="0" fontId="40" fillId="38" borderId="0" xfId="0" applyFont="1" applyFill="1"/>
    <xf numFmtId="0" fontId="40" fillId="33" borderId="0" xfId="0" applyFont="1" applyFill="1" applyAlignment="1">
      <alignment wrapText="1"/>
    </xf>
    <xf numFmtId="0" fontId="40" fillId="40" borderId="0" xfId="0" applyFont="1" applyFill="1"/>
    <xf numFmtId="0" fontId="0" fillId="5" borderId="0" xfId="0" applyFill="1"/>
    <xf numFmtId="0" fontId="40" fillId="28" borderId="0" xfId="0" applyFont="1" applyFill="1"/>
    <xf numFmtId="0" fontId="40" fillId="11" borderId="0" xfId="0" applyFont="1" applyFill="1"/>
    <xf numFmtId="0" fontId="40" fillId="13" borderId="0" xfId="0" applyFont="1" applyFill="1"/>
    <xf numFmtId="0" fontId="40" fillId="41" borderId="0" xfId="0" applyFont="1" applyFill="1"/>
    <xf numFmtId="0" fontId="40" fillId="42" borderId="0" xfId="0" applyFont="1" applyFill="1"/>
    <xf numFmtId="0" fontId="0" fillId="43" borderId="0" xfId="0" applyFill="1"/>
    <xf numFmtId="0" fontId="40" fillId="44" borderId="0" xfId="0" applyFont="1" applyFill="1"/>
    <xf numFmtId="0" fontId="40" fillId="44" borderId="0" xfId="0" applyFont="1" applyFill="1" applyAlignment="1">
      <alignment wrapText="1"/>
    </xf>
    <xf numFmtId="2" fontId="40" fillId="0" borderId="0" xfId="0" applyNumberFormat="1" applyFont="1"/>
    <xf numFmtId="2" fontId="40" fillId="40" borderId="0" xfId="0" applyNumberFormat="1" applyFont="1" applyFill="1"/>
    <xf numFmtId="0" fontId="0" fillId="0" borderId="1" xfId="0" applyBorder="1" applyProtection="1">
      <protection locked="0"/>
    </xf>
    <xf numFmtId="0" fontId="0" fillId="0" borderId="2" xfId="0" applyBorder="1" applyProtection="1">
      <protection locked="0"/>
    </xf>
    <xf numFmtId="0" fontId="0" fillId="0" borderId="3" xfId="0" applyBorder="1" applyProtection="1">
      <protection locked="0"/>
    </xf>
    <xf numFmtId="0" fontId="0" fillId="0" borderId="4" xfId="0" applyBorder="1" applyProtection="1">
      <protection locked="0"/>
    </xf>
    <xf numFmtId="0" fontId="0" fillId="20" borderId="0" xfId="0" applyFill="1" applyAlignment="1" applyProtection="1">
      <alignment horizontal="center"/>
      <protection locked="0"/>
    </xf>
    <xf numFmtId="0" fontId="0" fillId="0" borderId="5" xfId="0" applyBorder="1" applyProtection="1">
      <protection locked="0"/>
    </xf>
    <xf numFmtId="0" fontId="11" fillId="20" borderId="0" xfId="0" applyFont="1" applyFill="1" applyAlignment="1">
      <alignment horizontal="right" shrinkToFit="1"/>
    </xf>
    <xf numFmtId="0" fontId="11" fillId="20" borderId="0" xfId="0" applyFont="1" applyFill="1" applyAlignment="1" applyProtection="1">
      <alignment horizontal="right"/>
      <protection locked="0"/>
    </xf>
    <xf numFmtId="0" fontId="0" fillId="20" borderId="0" xfId="0" applyFill="1" applyProtection="1">
      <protection locked="0"/>
    </xf>
    <xf numFmtId="0" fontId="0" fillId="0" borderId="6" xfId="0" applyBorder="1" applyProtection="1">
      <protection locked="0"/>
    </xf>
    <xf numFmtId="0" fontId="0" fillId="0" borderId="7" xfId="0" applyBorder="1" applyProtection="1">
      <protection locked="0"/>
    </xf>
    <xf numFmtId="0" fontId="0" fillId="0" borderId="8" xfId="0" applyBorder="1" applyProtection="1">
      <protection locked="0"/>
    </xf>
    <xf numFmtId="0" fontId="135" fillId="0" borderId="0" xfId="0" applyFont="1" applyAlignment="1">
      <alignment horizontal="right" vertical="top"/>
    </xf>
    <xf numFmtId="0" fontId="135" fillId="0" borderId="0" xfId="0" applyFont="1" applyAlignment="1">
      <alignment horizontal="justify" vertical="top" wrapText="1"/>
    </xf>
    <xf numFmtId="0" fontId="136" fillId="0" borderId="0" xfId="0" applyFont="1" applyAlignment="1">
      <alignment horizontal="right"/>
    </xf>
    <xf numFmtId="0" fontId="40" fillId="37" borderId="0" xfId="0" applyFont="1" applyFill="1"/>
    <xf numFmtId="0" fontId="40" fillId="39" borderId="0" xfId="0" applyFont="1" applyFill="1"/>
    <xf numFmtId="0" fontId="40" fillId="45" borderId="0" xfId="0" applyFont="1" applyFill="1"/>
    <xf numFmtId="0" fontId="137" fillId="0" borderId="0" xfId="0" applyFont="1"/>
    <xf numFmtId="0" fontId="137" fillId="37" borderId="0" xfId="0" applyFont="1" applyFill="1"/>
    <xf numFmtId="0" fontId="17" fillId="0" borderId="0" xfId="0" applyFont="1" applyAlignment="1" applyProtection="1">
      <alignment horizontal="center" vertical="center"/>
      <protection locked="0"/>
    </xf>
    <xf numFmtId="0" fontId="40" fillId="46" borderId="0" xfId="0" applyFont="1" applyFill="1"/>
    <xf numFmtId="0" fontId="40" fillId="46" borderId="0" xfId="0" applyFont="1" applyFill="1" applyAlignment="1">
      <alignment wrapText="1"/>
    </xf>
    <xf numFmtId="9" fontId="16" fillId="0" borderId="0" xfId="2" applyFont="1" applyAlignment="1" applyProtection="1">
      <alignment horizontal="center"/>
      <protection locked="0"/>
    </xf>
    <xf numFmtId="0" fontId="40" fillId="24" borderId="0" xfId="0" applyFont="1" applyFill="1"/>
    <xf numFmtId="14" fontId="16" fillId="0" borderId="0" xfId="0" applyNumberFormat="1" applyFont="1" applyAlignment="1" applyProtection="1">
      <alignment horizontal="center"/>
      <protection locked="0"/>
    </xf>
    <xf numFmtId="0" fontId="38" fillId="0" borderId="0" xfId="0" applyFont="1" applyAlignment="1">
      <alignment horizontal="right"/>
    </xf>
    <xf numFmtId="166" fontId="38" fillId="0" borderId="0" xfId="0" applyNumberFormat="1" applyFont="1"/>
    <xf numFmtId="0" fontId="0" fillId="22" borderId="27" xfId="0" applyFill="1" applyBorder="1" applyAlignment="1" applyProtection="1">
      <alignment horizontal="left" shrinkToFit="1"/>
      <protection locked="0"/>
    </xf>
    <xf numFmtId="0" fontId="49" fillId="0" borderId="0" xfId="0" applyFont="1" applyAlignment="1">
      <alignment vertical="center" shrinkToFit="1"/>
    </xf>
    <xf numFmtId="0" fontId="73" fillId="12" borderId="0" xfId="0" applyFont="1" applyFill="1" applyAlignment="1" applyProtection="1">
      <alignment vertical="center"/>
      <protection locked="0"/>
    </xf>
    <xf numFmtId="0" fontId="0" fillId="24" borderId="0" xfId="0" applyFill="1"/>
    <xf numFmtId="0" fontId="39" fillId="24" borderId="0" xfId="0" applyFont="1" applyFill="1" applyAlignment="1">
      <alignment horizontal="right" vertical="center"/>
    </xf>
    <xf numFmtId="0" fontId="60" fillId="24" borderId="0" xfId="0" applyFont="1" applyFill="1" applyAlignment="1">
      <alignment horizontal="right" vertical="center"/>
    </xf>
    <xf numFmtId="167" fontId="138" fillId="24" borderId="0" xfId="0" applyNumberFormat="1" applyFont="1" applyFill="1" applyAlignment="1">
      <alignment vertical="center" shrinkToFit="1"/>
    </xf>
    <xf numFmtId="0" fontId="39" fillId="24" borderId="58" xfId="0" applyFont="1" applyFill="1" applyBorder="1" applyAlignment="1">
      <alignment horizontal="left" vertical="center"/>
    </xf>
    <xf numFmtId="0" fontId="60" fillId="24" borderId="59" xfId="0" applyFont="1" applyFill="1" applyBorder="1" applyAlignment="1">
      <alignment horizontal="left" vertical="center"/>
    </xf>
    <xf numFmtId="0" fontId="65" fillId="24" borderId="59" xfId="0" applyFont="1" applyFill="1" applyBorder="1" applyAlignment="1">
      <alignment horizontal="center" vertical="center"/>
    </xf>
    <xf numFmtId="0" fontId="65" fillId="24" borderId="60" xfId="0" applyFont="1" applyFill="1" applyBorder="1" applyAlignment="1">
      <alignment horizontal="center" vertical="center"/>
    </xf>
    <xf numFmtId="0" fontId="33" fillId="0" borderId="61" xfId="0" applyFont="1" applyBorder="1" applyAlignment="1">
      <alignment horizontal="center" vertical="center"/>
    </xf>
    <xf numFmtId="0" fontId="20" fillId="0" borderId="0" xfId="0" applyFont="1" applyAlignment="1">
      <alignment horizontal="left" vertical="center"/>
    </xf>
    <xf numFmtId="0" fontId="20" fillId="0" borderId="62" xfId="0" applyFont="1" applyBorder="1" applyAlignment="1">
      <alignment horizontal="center" vertical="center"/>
    </xf>
    <xf numFmtId="0" fontId="40" fillId="18" borderId="61" xfId="0" applyFont="1" applyFill="1" applyBorder="1" applyAlignment="1">
      <alignment vertical="top" wrapText="1"/>
    </xf>
    <xf numFmtId="0" fontId="34" fillId="18" borderId="0" xfId="0" applyFont="1" applyFill="1" applyAlignment="1">
      <alignment vertical="center"/>
    </xf>
    <xf numFmtId="0" fontId="14" fillId="18" borderId="0" xfId="0" applyFont="1" applyFill="1" applyAlignment="1">
      <alignment vertical="center"/>
    </xf>
    <xf numFmtId="0" fontId="11" fillId="18" borderId="62" xfId="0" applyFont="1" applyFill="1" applyBorder="1" applyAlignment="1">
      <alignment horizontal="center" vertical="center"/>
    </xf>
    <xf numFmtId="0" fontId="40" fillId="0" borderId="61" xfId="0" applyFont="1" applyBorder="1" applyAlignment="1">
      <alignment vertical="top" wrapText="1"/>
    </xf>
    <xf numFmtId="0" fontId="0" fillId="0" borderId="62" xfId="0" applyBorder="1"/>
    <xf numFmtId="0" fontId="12" fillId="0" borderId="61" xfId="0" applyFont="1" applyBorder="1" applyAlignment="1">
      <alignment vertical="center"/>
    </xf>
    <xf numFmtId="0" fontId="0" fillId="18" borderId="61" xfId="0" applyFill="1" applyBorder="1"/>
    <xf numFmtId="0" fontId="0" fillId="0" borderId="61" xfId="0" applyBorder="1"/>
    <xf numFmtId="0" fontId="11" fillId="0" borderId="61" xfId="0" applyFont="1" applyBorder="1" applyAlignment="1">
      <alignment vertical="center"/>
    </xf>
    <xf numFmtId="0" fontId="12" fillId="0" borderId="63" xfId="0" applyFont="1" applyBorder="1" applyAlignment="1">
      <alignment vertical="center"/>
    </xf>
    <xf numFmtId="0" fontId="11" fillId="0" borderId="64" xfId="0" applyFont="1" applyBorder="1" applyAlignment="1">
      <alignment vertical="center" wrapText="1"/>
    </xf>
    <xf numFmtId="0" fontId="11" fillId="0" borderId="64" xfId="0" applyFont="1" applyBorder="1" applyAlignment="1">
      <alignment vertical="center"/>
    </xf>
    <xf numFmtId="0" fontId="0" fillId="0" borderId="65" xfId="0" applyBorder="1"/>
    <xf numFmtId="0" fontId="65" fillId="24" borderId="59" xfId="0" applyFont="1" applyFill="1" applyBorder="1" applyAlignment="1">
      <alignment vertical="center"/>
    </xf>
    <xf numFmtId="0" fontId="40" fillId="24" borderId="60" xfId="0" applyFont="1" applyFill="1" applyBorder="1"/>
    <xf numFmtId="0" fontId="14" fillId="0" borderId="61" xfId="0" applyFont="1" applyBorder="1" applyAlignment="1">
      <alignment vertical="center"/>
    </xf>
    <xf numFmtId="0" fontId="0" fillId="0" borderId="62" xfId="0" applyBorder="1" applyAlignment="1">
      <alignment horizontal="right"/>
    </xf>
    <xf numFmtId="0" fontId="16" fillId="0" borderId="0" xfId="0" applyFont="1" applyAlignment="1">
      <alignment vertical="top"/>
    </xf>
    <xf numFmtId="0" fontId="11" fillId="0" borderId="62" xfId="0" applyFont="1" applyBorder="1" applyAlignment="1">
      <alignment vertical="center"/>
    </xf>
    <xf numFmtId="0" fontId="16" fillId="0" borderId="0" xfId="0" applyFont="1" applyAlignment="1">
      <alignment vertical="top" wrapText="1"/>
    </xf>
    <xf numFmtId="0" fontId="11" fillId="18" borderId="61" xfId="0" applyFont="1" applyFill="1" applyBorder="1" applyAlignment="1">
      <alignment vertical="center"/>
    </xf>
    <xf numFmtId="0" fontId="11" fillId="18" borderId="0" xfId="0" applyFont="1" applyFill="1" applyAlignment="1">
      <alignment horizontal="right" vertical="center"/>
    </xf>
    <xf numFmtId="0" fontId="16" fillId="18" borderId="62" xfId="0" applyFont="1" applyFill="1" applyBorder="1" applyAlignment="1">
      <alignment horizontal="center" vertical="center"/>
    </xf>
    <xf numFmtId="0" fontId="13" fillId="0" borderId="63" xfId="0" applyFont="1" applyBorder="1" applyAlignment="1">
      <alignment vertical="center"/>
    </xf>
    <xf numFmtId="0" fontId="11" fillId="0" borderId="59" xfId="0" applyFont="1" applyBorder="1" applyAlignment="1">
      <alignment vertical="center"/>
    </xf>
    <xf numFmtId="0" fontId="0" fillId="0" borderId="64" xfId="0" applyBorder="1"/>
    <xf numFmtId="0" fontId="20" fillId="0" borderId="64" xfId="0" applyFont="1" applyBorder="1" applyAlignment="1">
      <alignment horizontal="center" vertical="center"/>
    </xf>
    <xf numFmtId="0" fontId="16" fillId="47" borderId="0" xfId="0" applyFont="1" applyFill="1" applyAlignment="1" applyProtection="1">
      <alignment horizontal="center" vertical="center"/>
      <protection locked="0"/>
    </xf>
    <xf numFmtId="0" fontId="41" fillId="0" borderId="0" xfId="0" applyFont="1" applyAlignment="1">
      <alignment vertical="top" wrapText="1"/>
    </xf>
    <xf numFmtId="0" fontId="65" fillId="24" borderId="60" xfId="0" applyFont="1" applyFill="1" applyBorder="1" applyAlignment="1">
      <alignment vertical="center"/>
    </xf>
    <xf numFmtId="0" fontId="40" fillId="14" borderId="61" xfId="0" applyFont="1" applyFill="1" applyBorder="1" applyAlignment="1">
      <alignment vertical="top" wrapText="1"/>
    </xf>
    <xf numFmtId="0" fontId="34" fillId="14" borderId="0" xfId="0" applyFont="1" applyFill="1" applyAlignment="1">
      <alignment vertical="center"/>
    </xf>
    <xf numFmtId="0" fontId="14" fillId="14" borderId="0" xfId="0" applyFont="1" applyFill="1" applyAlignment="1">
      <alignment vertical="center"/>
    </xf>
    <xf numFmtId="0" fontId="11" fillId="14" borderId="62" xfId="0" applyFont="1" applyFill="1" applyBorder="1" applyAlignment="1">
      <alignment horizontal="center" vertical="center"/>
    </xf>
    <xf numFmtId="0" fontId="85" fillId="0" borderId="0" xfId="0" applyFont="1" applyAlignment="1">
      <alignment wrapText="1"/>
    </xf>
    <xf numFmtId="0" fontId="60" fillId="0" borderId="0" xfId="0" applyFont="1" applyAlignment="1">
      <alignment horizontal="left" vertical="center"/>
    </xf>
    <xf numFmtId="0" fontId="65" fillId="0" borderId="0" xfId="0" applyFont="1" applyAlignment="1">
      <alignment horizontal="center" vertical="center"/>
    </xf>
    <xf numFmtId="0" fontId="65" fillId="0" borderId="0" xfId="0" applyFont="1" applyAlignment="1">
      <alignment vertical="center"/>
    </xf>
    <xf numFmtId="0" fontId="36" fillId="0" borderId="0" xfId="0" applyFont="1" applyAlignment="1">
      <alignment vertical="top" wrapText="1"/>
    </xf>
    <xf numFmtId="0" fontId="34" fillId="19" borderId="0" xfId="0" applyFont="1" applyFill="1" applyAlignment="1">
      <alignment vertical="center"/>
    </xf>
    <xf numFmtId="0" fontId="14" fillId="19" borderId="0" xfId="0" applyFont="1" applyFill="1" applyAlignment="1">
      <alignment vertical="center"/>
    </xf>
    <xf numFmtId="0" fontId="34" fillId="19" borderId="0" xfId="0" applyFont="1" applyFill="1" applyAlignment="1">
      <alignment horizontal="left" vertical="center"/>
    </xf>
    <xf numFmtId="0" fontId="11" fillId="19" borderId="0" xfId="0" applyFont="1" applyFill="1" applyAlignment="1">
      <alignment horizontal="right" vertical="center"/>
    </xf>
    <xf numFmtId="0" fontId="14" fillId="2" borderId="0" xfId="0" applyFont="1" applyFill="1" applyAlignment="1">
      <alignment vertical="center"/>
    </xf>
    <xf numFmtId="168" fontId="11" fillId="0" borderId="66" xfId="0" applyNumberFormat="1" applyFont="1" applyBorder="1" applyAlignment="1">
      <alignment vertical="center"/>
    </xf>
    <xf numFmtId="0" fontId="11" fillId="0" borderId="66" xfId="0" applyFont="1" applyBorder="1" applyAlignment="1">
      <alignment vertical="center"/>
    </xf>
    <xf numFmtId="0" fontId="39" fillId="0" borderId="61" xfId="0" applyFont="1" applyBorder="1" applyAlignment="1">
      <alignment horizontal="left" vertical="center"/>
    </xf>
    <xf numFmtId="0" fontId="40" fillId="19" borderId="61" xfId="0" applyFont="1" applyFill="1" applyBorder="1" applyAlignment="1">
      <alignment vertical="top" wrapText="1"/>
    </xf>
    <xf numFmtId="0" fontId="11" fillId="19" borderId="62" xfId="0" applyFont="1" applyFill="1" applyBorder="1" applyAlignment="1">
      <alignment horizontal="center" vertical="center"/>
    </xf>
    <xf numFmtId="0" fontId="0" fillId="19" borderId="61" xfId="0" applyFill="1" applyBorder="1"/>
    <xf numFmtId="0" fontId="0" fillId="0" borderId="63" xfId="0" applyBorder="1"/>
    <xf numFmtId="0" fontId="11" fillId="19" borderId="61" xfId="0" applyFont="1" applyFill="1" applyBorder="1" applyAlignment="1">
      <alignment vertical="center"/>
    </xf>
    <xf numFmtId="0" fontId="40" fillId="15" borderId="61" xfId="0" applyFont="1" applyFill="1" applyBorder="1" applyAlignment="1">
      <alignment vertical="top" wrapText="1"/>
    </xf>
    <xf numFmtId="0" fontId="34" fillId="15" borderId="0" xfId="0" applyFont="1" applyFill="1" applyAlignment="1">
      <alignment vertical="center"/>
    </xf>
    <xf numFmtId="0" fontId="14" fillId="15" borderId="0" xfId="0" applyFont="1" applyFill="1" applyAlignment="1">
      <alignment vertical="center"/>
    </xf>
    <xf numFmtId="0" fontId="11" fillId="15" borderId="62" xfId="0" applyFont="1" applyFill="1" applyBorder="1" applyAlignment="1">
      <alignment horizontal="center" vertical="center"/>
    </xf>
    <xf numFmtId="0" fontId="0" fillId="15" borderId="61" xfId="0" applyFill="1" applyBorder="1"/>
    <xf numFmtId="0" fontId="11" fillId="0" borderId="63" xfId="0" applyFont="1" applyBorder="1" applyAlignment="1">
      <alignment vertical="center"/>
    </xf>
    <xf numFmtId="0" fontId="20" fillId="0" borderId="64" xfId="0" applyFont="1" applyBorder="1" applyAlignment="1">
      <alignment horizontal="right" vertical="center"/>
    </xf>
    <xf numFmtId="168" fontId="20" fillId="0" borderId="64" xfId="0" applyNumberFormat="1" applyFont="1" applyBorder="1" applyAlignment="1">
      <alignment horizontal="center" vertical="center"/>
    </xf>
    <xf numFmtId="0" fontId="34" fillId="15" borderId="0" xfId="0" applyFont="1" applyFill="1" applyAlignment="1">
      <alignment horizontal="left" vertical="center"/>
    </xf>
    <xf numFmtId="0" fontId="11" fillId="15" borderId="61" xfId="0" applyFont="1" applyFill="1" applyBorder="1" applyAlignment="1">
      <alignment vertical="center"/>
    </xf>
    <xf numFmtId="0" fontId="11" fillId="15" borderId="0" xfId="0" applyFont="1" applyFill="1" applyAlignment="1">
      <alignment horizontal="right" vertical="center"/>
    </xf>
    <xf numFmtId="0" fontId="13" fillId="15" borderId="62" xfId="0" applyFont="1" applyFill="1" applyBorder="1" applyAlignment="1">
      <alignment vertical="center"/>
    </xf>
    <xf numFmtId="0" fontId="16" fillId="0" borderId="64" xfId="0" applyFont="1" applyBorder="1" applyAlignment="1">
      <alignment vertical="center"/>
    </xf>
    <xf numFmtId="169" fontId="11" fillId="0" borderId="64" xfId="0" applyNumberFormat="1" applyFont="1" applyBorder="1" applyAlignment="1">
      <alignment vertical="center"/>
    </xf>
    <xf numFmtId="0" fontId="11" fillId="0" borderId="65" xfId="0" applyFont="1" applyBorder="1" applyAlignment="1">
      <alignment vertical="center"/>
    </xf>
    <xf numFmtId="0" fontId="85" fillId="0" borderId="61" xfId="0" applyFont="1" applyBorder="1" applyAlignment="1">
      <alignment wrapText="1"/>
    </xf>
    <xf numFmtId="0" fontId="40" fillId="16" borderId="61" xfId="0" applyFont="1" applyFill="1" applyBorder="1" applyAlignment="1">
      <alignment vertical="top" wrapText="1"/>
    </xf>
    <xf numFmtId="0" fontId="34" fillId="16" borderId="0" xfId="0" applyFont="1" applyFill="1" applyAlignment="1">
      <alignment vertical="center"/>
    </xf>
    <xf numFmtId="0" fontId="14" fillId="16" borderId="0" xfId="0" applyFont="1" applyFill="1" applyAlignment="1">
      <alignment vertical="center"/>
    </xf>
    <xf numFmtId="0" fontId="11" fillId="16" borderId="62" xfId="0" applyFont="1" applyFill="1" applyBorder="1" applyAlignment="1">
      <alignment horizontal="center" vertical="center"/>
    </xf>
    <xf numFmtId="0" fontId="0" fillId="16" borderId="61" xfId="0" applyFill="1" applyBorder="1"/>
    <xf numFmtId="0" fontId="11" fillId="16" borderId="0" xfId="0" applyFont="1" applyFill="1" applyAlignment="1">
      <alignment vertical="center"/>
    </xf>
    <xf numFmtId="0" fontId="34" fillId="16" borderId="0" xfId="0" applyFont="1" applyFill="1" applyAlignment="1">
      <alignment horizontal="left" vertical="center"/>
    </xf>
    <xf numFmtId="0" fontId="11" fillId="16" borderId="61" xfId="0" applyFont="1" applyFill="1" applyBorder="1" applyAlignment="1">
      <alignment vertical="center"/>
    </xf>
    <xf numFmtId="0" fontId="11" fillId="16" borderId="0" xfId="0" applyFont="1" applyFill="1" applyAlignment="1">
      <alignment horizontal="right" vertical="center"/>
    </xf>
    <xf numFmtId="0" fontId="13" fillId="16" borderId="62" xfId="0" applyFont="1" applyFill="1" applyBorder="1" applyAlignment="1">
      <alignment vertical="center"/>
    </xf>
    <xf numFmtId="0" fontId="12" fillId="0" borderId="0" xfId="0" applyFont="1" applyAlignment="1">
      <alignment vertical="center"/>
    </xf>
    <xf numFmtId="0" fontId="40" fillId="17" borderId="61" xfId="0" applyFont="1" applyFill="1" applyBorder="1" applyAlignment="1">
      <alignment vertical="top" wrapText="1"/>
    </xf>
    <xf numFmtId="0" fontId="34" fillId="17" borderId="0" xfId="0" applyFont="1" applyFill="1" applyAlignment="1">
      <alignment vertical="center"/>
    </xf>
    <xf numFmtId="0" fontId="11" fillId="17" borderId="0" xfId="0" applyFont="1" applyFill="1" applyAlignment="1">
      <alignment vertical="center"/>
    </xf>
    <xf numFmtId="0" fontId="11" fillId="17" borderId="62" xfId="0" applyFont="1" applyFill="1" applyBorder="1" applyAlignment="1">
      <alignment horizontal="center" vertical="center"/>
    </xf>
    <xf numFmtId="0" fontId="0" fillId="17" borderId="61" xfId="0" applyFill="1" applyBorder="1"/>
    <xf numFmtId="168" fontId="20" fillId="0" borderId="64" xfId="0" applyNumberFormat="1" applyFont="1" applyBorder="1" applyAlignment="1">
      <alignment vertical="center"/>
    </xf>
    <xf numFmtId="0" fontId="0" fillId="0" borderId="65" xfId="0" applyBorder="1" applyAlignment="1">
      <alignment horizontal="center"/>
    </xf>
    <xf numFmtId="0" fontId="11" fillId="0" borderId="62" xfId="0" applyFont="1" applyBorder="1"/>
    <xf numFmtId="0" fontId="14" fillId="0" borderId="0" xfId="0" applyFont="1" applyAlignment="1">
      <alignment vertical="center"/>
    </xf>
    <xf numFmtId="0" fontId="11" fillId="17" borderId="61" xfId="0" applyFont="1" applyFill="1" applyBorder="1" applyAlignment="1">
      <alignment vertical="center"/>
    </xf>
    <xf numFmtId="0" fontId="11" fillId="4" borderId="0" xfId="0" applyFont="1" applyFill="1" applyAlignment="1">
      <alignment horizontal="right" vertical="center"/>
    </xf>
    <xf numFmtId="0" fontId="14" fillId="0" borderId="64" xfId="0" applyFont="1" applyBorder="1" applyAlignment="1">
      <alignment horizontal="left" vertical="center"/>
    </xf>
    <xf numFmtId="0" fontId="11" fillId="0" borderId="64" xfId="0" applyFont="1" applyBorder="1" applyAlignment="1">
      <alignment horizontal="center" vertical="center"/>
    </xf>
    <xf numFmtId="0" fontId="11" fillId="0" borderId="67" xfId="0" applyFont="1" applyBorder="1" applyAlignment="1">
      <alignment vertical="center"/>
    </xf>
    <xf numFmtId="0" fontId="34" fillId="6" borderId="0" xfId="0" applyFont="1" applyFill="1" applyAlignment="1">
      <alignment vertical="center"/>
    </xf>
    <xf numFmtId="0" fontId="40" fillId="6" borderId="61" xfId="0" applyFont="1" applyFill="1" applyBorder="1" applyAlignment="1">
      <alignment vertical="top" wrapText="1"/>
    </xf>
    <xf numFmtId="0" fontId="11" fillId="6" borderId="62" xfId="0" applyFont="1" applyFill="1" applyBorder="1" applyAlignment="1">
      <alignment horizontal="center" vertical="center"/>
    </xf>
    <xf numFmtId="0" fontId="60" fillId="24" borderId="0" xfId="7" applyAlignment="1">
      <alignment horizontal="right" vertical="center"/>
    </xf>
    <xf numFmtId="167" fontId="60" fillId="24" borderId="0" xfId="7" applyNumberFormat="1" applyAlignment="1">
      <alignment vertical="center" shrinkToFit="1"/>
    </xf>
    <xf numFmtId="0" fontId="60" fillId="24" borderId="0" xfId="7" applyAlignment="1"/>
    <xf numFmtId="0" fontId="40" fillId="13" borderId="61" xfId="0" applyFont="1" applyFill="1" applyBorder="1" applyAlignment="1">
      <alignment vertical="top" wrapText="1"/>
    </xf>
    <xf numFmtId="0" fontId="34" fillId="13" borderId="0" xfId="0" applyFont="1" applyFill="1" applyAlignment="1">
      <alignment vertical="center"/>
    </xf>
    <xf numFmtId="0" fontId="14" fillId="13" borderId="0" xfId="0" applyFont="1" applyFill="1" applyAlignment="1">
      <alignment vertical="center"/>
    </xf>
    <xf numFmtId="0" fontId="11" fillId="13" borderId="62" xfId="0" applyFont="1" applyFill="1" applyBorder="1" applyAlignment="1">
      <alignment horizontal="center" vertical="center"/>
    </xf>
    <xf numFmtId="0" fontId="0" fillId="13" borderId="61" xfId="0" applyFill="1" applyBorder="1"/>
    <xf numFmtId="0" fontId="34" fillId="13" borderId="0" xfId="0" applyFont="1" applyFill="1" applyAlignment="1">
      <alignment vertical="center" shrinkToFit="1"/>
    </xf>
    <xf numFmtId="0" fontId="13" fillId="3" borderId="0" xfId="0" applyFont="1" applyFill="1" applyAlignment="1">
      <alignment vertical="center"/>
    </xf>
    <xf numFmtId="0" fontId="11" fillId="2" borderId="0" xfId="0" applyFont="1" applyFill="1" applyAlignment="1">
      <alignment vertical="center" wrapText="1"/>
    </xf>
    <xf numFmtId="0" fontId="11" fillId="2" borderId="64" xfId="0" applyFont="1" applyFill="1" applyBorder="1" applyAlignment="1">
      <alignment vertical="center"/>
    </xf>
    <xf numFmtId="9" fontId="16" fillId="0" borderId="0" xfId="0" applyNumberFormat="1" applyFont="1" applyAlignment="1" applyProtection="1">
      <alignment horizontal="center"/>
      <protection locked="0"/>
    </xf>
    <xf numFmtId="0" fontId="65" fillId="24" borderId="68" xfId="0" applyFont="1" applyFill="1" applyBorder="1" applyAlignment="1">
      <alignment vertical="center"/>
    </xf>
    <xf numFmtId="167" fontId="66" fillId="24" borderId="69" xfId="1" applyNumberFormat="1" applyFont="1" applyFill="1" applyBorder="1" applyAlignment="1">
      <alignment horizontal="right" vertical="center"/>
    </xf>
    <xf numFmtId="167" fontId="66" fillId="24" borderId="69" xfId="1" applyNumberFormat="1" applyFont="1" applyFill="1" applyBorder="1" applyAlignment="1">
      <alignment vertical="center" shrinkToFit="1"/>
    </xf>
    <xf numFmtId="0" fontId="65" fillId="24" borderId="70" xfId="0" applyFont="1" applyFill="1" applyBorder="1" applyAlignment="1">
      <alignment vertical="center"/>
    </xf>
    <xf numFmtId="0" fontId="40" fillId="24" borderId="70" xfId="0" applyFont="1" applyFill="1" applyBorder="1"/>
    <xf numFmtId="0" fontId="63" fillId="3" borderId="0" xfId="0" applyFont="1" applyFill="1" applyAlignment="1">
      <alignment horizontal="right" vertical="center"/>
    </xf>
    <xf numFmtId="0" fontId="34" fillId="0" borderId="0" xfId="0" applyFont="1" applyAlignment="1">
      <alignment horizontal="left" vertical="center" indent="3"/>
    </xf>
    <xf numFmtId="0" fontId="11" fillId="0" borderId="62" xfId="0" applyFont="1" applyBorder="1" applyAlignment="1">
      <alignment horizontal="center" vertical="center"/>
    </xf>
    <xf numFmtId="2" fontId="40" fillId="27" borderId="0" xfId="0" applyNumberFormat="1" applyFont="1" applyFill="1" applyAlignment="1">
      <alignment wrapText="1"/>
    </xf>
    <xf numFmtId="164" fontId="0" fillId="27" borderId="0" xfId="0" applyNumberFormat="1" applyFill="1"/>
    <xf numFmtId="164" fontId="11" fillId="0" borderId="0" xfId="1" applyNumberFormat="1" applyFont="1" applyFill="1" applyBorder="1" applyAlignment="1">
      <alignment vertical="center"/>
    </xf>
    <xf numFmtId="0" fontId="40" fillId="27" borderId="0" xfId="0" applyFont="1" applyFill="1"/>
    <xf numFmtId="0" fontId="13" fillId="0" borderId="0" xfId="0" applyFont="1" applyAlignment="1">
      <alignment horizontal="right" vertical="center" wrapText="1"/>
    </xf>
    <xf numFmtId="0" fontId="42" fillId="23" borderId="0" xfId="4" applyFill="1" applyAlignment="1" applyProtection="1">
      <alignment vertical="center"/>
    </xf>
    <xf numFmtId="0" fontId="86" fillId="0" borderId="0" xfId="0" applyFont="1" applyAlignment="1">
      <alignment vertical="top" wrapText="1"/>
    </xf>
    <xf numFmtId="0" fontId="42" fillId="23" borderId="0" xfId="4" applyFill="1" applyBorder="1" applyAlignment="1" applyProtection="1">
      <alignment horizontal="right" vertical="center"/>
    </xf>
    <xf numFmtId="0" fontId="42" fillId="23" borderId="0" xfId="4" applyFill="1" applyBorder="1" applyAlignment="1" applyProtection="1">
      <alignment horizontal="center" vertical="center"/>
    </xf>
    <xf numFmtId="0" fontId="25" fillId="23" borderId="0" xfId="4" applyFont="1" applyFill="1" applyAlignment="1" applyProtection="1">
      <alignment vertical="center"/>
    </xf>
    <xf numFmtId="0" fontId="62" fillId="3" borderId="0" xfId="0" applyFont="1" applyFill="1" applyAlignment="1">
      <alignment horizontal="right" vertical="center"/>
    </xf>
    <xf numFmtId="49" fontId="46" fillId="0" borderId="0" xfId="0" applyNumberFormat="1" applyFont="1"/>
    <xf numFmtId="177" fontId="46" fillId="0" borderId="0" xfId="0" applyNumberFormat="1" applyFont="1" applyAlignment="1">
      <alignment shrinkToFit="1"/>
    </xf>
    <xf numFmtId="178" fontId="46" fillId="0" borderId="0" xfId="0" applyNumberFormat="1" applyFont="1" applyAlignment="1">
      <alignment shrinkToFit="1"/>
    </xf>
    <xf numFmtId="0" fontId="49" fillId="0" borderId="0" xfId="0" applyFont="1" applyAlignment="1" applyProtection="1">
      <alignment shrinkToFit="1"/>
      <protection locked="0"/>
    </xf>
    <xf numFmtId="0" fontId="44" fillId="0" borderId="0" xfId="0" applyFont="1" applyProtection="1">
      <protection locked="0"/>
    </xf>
    <xf numFmtId="166" fontId="11" fillId="35" borderId="12" xfId="0" applyNumberFormat="1" applyFont="1" applyFill="1" applyBorder="1" applyAlignment="1" applyProtection="1">
      <alignment horizontal="right" vertical="center" shrinkToFit="1"/>
      <protection locked="0"/>
    </xf>
    <xf numFmtId="166" fontId="11" fillId="0" borderId="12" xfId="0" applyNumberFormat="1" applyFont="1" applyBorder="1" applyAlignment="1" applyProtection="1">
      <alignment horizontal="right" vertical="center" shrinkToFit="1"/>
      <protection locked="0"/>
    </xf>
    <xf numFmtId="177" fontId="46" fillId="0" borderId="0" xfId="0" applyNumberFormat="1" applyFont="1" applyAlignment="1" applyProtection="1">
      <alignment shrinkToFit="1"/>
      <protection locked="0"/>
    </xf>
    <xf numFmtId="178" fontId="46" fillId="0" borderId="0" xfId="0" applyNumberFormat="1" applyFont="1" applyAlignment="1" applyProtection="1">
      <alignment shrinkToFit="1"/>
      <protection locked="0"/>
    </xf>
    <xf numFmtId="173" fontId="11" fillId="0" borderId="16" xfId="0" applyNumberFormat="1" applyFont="1" applyBorder="1" applyAlignment="1">
      <alignment horizontal="right" shrinkToFit="1"/>
    </xf>
    <xf numFmtId="49" fontId="49" fillId="0" borderId="0" xfId="0" applyNumberFormat="1" applyFont="1" applyAlignment="1">
      <alignment shrinkToFit="1"/>
    </xf>
    <xf numFmtId="0" fontId="16" fillId="48" borderId="0" xfId="0" applyFont="1" applyFill="1" applyAlignment="1" applyProtection="1">
      <alignment horizontal="center"/>
      <protection locked="0"/>
    </xf>
    <xf numFmtId="0" fontId="16" fillId="48" borderId="0" xfId="0" applyFont="1" applyFill="1" applyAlignment="1" applyProtection="1">
      <alignment horizontal="center" vertical="center"/>
      <protection locked="0"/>
    </xf>
    <xf numFmtId="0" fontId="0" fillId="11" borderId="0" xfId="0" applyFill="1"/>
    <xf numFmtId="0" fontId="46" fillId="0" borderId="0" xfId="0" applyFont="1" applyAlignment="1">
      <alignment horizontal="left" shrinkToFit="1"/>
    </xf>
    <xf numFmtId="0" fontId="49" fillId="0" borderId="0" xfId="0" applyFont="1" applyAlignment="1" applyProtection="1">
      <alignment horizontal="left" shrinkToFit="1"/>
      <protection locked="0"/>
    </xf>
    <xf numFmtId="0" fontId="49" fillId="0" borderId="0" xfId="0" applyFont="1" applyAlignment="1">
      <alignment horizontal="left" shrinkToFit="1"/>
    </xf>
    <xf numFmtId="49" fontId="0" fillId="22" borderId="0" xfId="0" applyNumberFormat="1" applyFill="1" applyAlignment="1" applyProtection="1">
      <alignment horizontal="left"/>
      <protection locked="0"/>
    </xf>
    <xf numFmtId="0" fontId="0" fillId="21" borderId="0" xfId="0" applyFill="1" applyAlignment="1">
      <alignment horizontal="left"/>
    </xf>
    <xf numFmtId="0" fontId="56" fillId="21" borderId="0" xfId="0" applyFont="1" applyFill="1" applyAlignment="1">
      <alignment horizontal="left"/>
    </xf>
    <xf numFmtId="0" fontId="0" fillId="22" borderId="0" xfId="0" applyFill="1" applyAlignment="1" applyProtection="1">
      <alignment horizontal="left" shrinkToFit="1"/>
      <protection locked="0"/>
    </xf>
    <xf numFmtId="0" fontId="0" fillId="21" borderId="25" xfId="0" applyFill="1" applyBorder="1" applyAlignment="1">
      <alignment horizontal="left"/>
    </xf>
    <xf numFmtId="0" fontId="0" fillId="21" borderId="29" xfId="0" applyFill="1" applyBorder="1" applyAlignment="1">
      <alignment horizontal="left"/>
    </xf>
    <xf numFmtId="0" fontId="0" fillId="21" borderId="23" xfId="0" applyFill="1" applyBorder="1" applyAlignment="1">
      <alignment horizontal="left" vertical="center"/>
    </xf>
    <xf numFmtId="49" fontId="0" fillId="22" borderId="24" xfId="0" applyNumberFormat="1" applyFill="1" applyBorder="1" applyAlignment="1" applyProtection="1">
      <alignment horizontal="left"/>
      <protection locked="0"/>
    </xf>
    <xf numFmtId="49" fontId="0" fillId="22" borderId="0" xfId="0" applyNumberFormat="1" applyFill="1" applyAlignment="1" applyProtection="1">
      <alignment horizontal="left" shrinkToFit="1"/>
      <protection locked="0"/>
    </xf>
    <xf numFmtId="0" fontId="0" fillId="22" borderId="0" xfId="0" applyFill="1" applyAlignment="1">
      <alignment horizontal="left"/>
    </xf>
    <xf numFmtId="0" fontId="0" fillId="22" borderId="30" xfId="0" applyFill="1" applyBorder="1" applyAlignment="1" applyProtection="1">
      <alignment horizontal="left" shrinkToFit="1"/>
      <protection locked="0"/>
    </xf>
    <xf numFmtId="0" fontId="0" fillId="22" borderId="27" xfId="0" applyFill="1" applyBorder="1" applyAlignment="1">
      <alignment horizontal="left"/>
    </xf>
    <xf numFmtId="0" fontId="139" fillId="0" borderId="0" xfId="4" applyFont="1"/>
    <xf numFmtId="0" fontId="134" fillId="0" borderId="0" xfId="0" applyFont="1" applyAlignment="1">
      <alignment horizontal="left"/>
    </xf>
    <xf numFmtId="0" fontId="140" fillId="0" borderId="9" xfId="0" applyFont="1" applyBorder="1" applyAlignment="1" applyProtection="1">
      <alignment horizontal="center" vertical="center"/>
      <protection locked="0"/>
    </xf>
    <xf numFmtId="173" fontId="11" fillId="0" borderId="13" xfId="0" applyNumberFormat="1" applyFont="1" applyBorder="1" applyAlignment="1">
      <alignment horizontal="right" shrinkToFit="1"/>
    </xf>
    <xf numFmtId="179" fontId="46" fillId="0" borderId="0" xfId="0" applyNumberFormat="1" applyFont="1" applyAlignment="1" applyProtection="1">
      <alignment shrinkToFit="1"/>
      <protection locked="0"/>
    </xf>
    <xf numFmtId="180" fontId="46" fillId="0" borderId="0" xfId="0" applyNumberFormat="1" applyFont="1" applyProtection="1">
      <protection locked="0"/>
    </xf>
    <xf numFmtId="180" fontId="46" fillId="0" borderId="0" xfId="0" applyNumberFormat="1" applyFont="1" applyAlignment="1" applyProtection="1">
      <alignment shrinkToFit="1"/>
      <protection locked="0"/>
    </xf>
    <xf numFmtId="180" fontId="46" fillId="0" borderId="0" xfId="0" applyNumberFormat="1" applyFont="1" applyAlignment="1">
      <alignment shrinkToFit="1"/>
    </xf>
    <xf numFmtId="179" fontId="46" fillId="0" borderId="0" xfId="0" applyNumberFormat="1" applyFont="1" applyAlignment="1">
      <alignment shrinkToFit="1"/>
    </xf>
    <xf numFmtId="180" fontId="46" fillId="0" borderId="0" xfId="0" applyNumberFormat="1" applyFont="1"/>
    <xf numFmtId="0" fontId="28" fillId="0" borderId="0" xfId="0" applyFont="1" applyAlignment="1">
      <alignment horizontal="right"/>
    </xf>
    <xf numFmtId="166" fontId="28" fillId="0" borderId="0" xfId="0" applyNumberFormat="1" applyFont="1" applyAlignment="1">
      <alignment horizontal="left"/>
    </xf>
    <xf numFmtId="166" fontId="28" fillId="0" borderId="0" xfId="0" applyNumberFormat="1" applyFont="1" applyAlignment="1">
      <alignment horizontal="right"/>
    </xf>
    <xf numFmtId="0" fontId="16" fillId="27" borderId="0" xfId="0" applyFont="1" applyFill="1" applyAlignment="1" applyProtection="1">
      <alignment horizontal="center" vertical="center"/>
      <protection locked="0"/>
    </xf>
    <xf numFmtId="0" fontId="40" fillId="49" borderId="0" xfId="0" applyFont="1" applyFill="1"/>
    <xf numFmtId="0" fontId="16" fillId="12" borderId="0" xfId="0" applyFont="1" applyFill="1" applyAlignment="1" applyProtection="1">
      <alignment horizontal="left" vertical="center"/>
      <protection locked="0"/>
    </xf>
    <xf numFmtId="0" fontId="0" fillId="50" borderId="0" xfId="0" applyFill="1"/>
    <xf numFmtId="0" fontId="0" fillId="29" borderId="0" xfId="0" applyFill="1"/>
    <xf numFmtId="0" fontId="0" fillId="12" borderId="0" xfId="0" applyFill="1"/>
    <xf numFmtId="0" fontId="0" fillId="51" borderId="0" xfId="0" applyFill="1"/>
    <xf numFmtId="0" fontId="0" fillId="52" borderId="0" xfId="0" applyFill="1"/>
    <xf numFmtId="0" fontId="25" fillId="53" borderId="0" xfId="0" applyFont="1" applyFill="1" applyAlignment="1" applyProtection="1">
      <alignment vertical="center"/>
      <protection locked="0"/>
    </xf>
    <xf numFmtId="0" fontId="16" fillId="54" borderId="0" xfId="0" applyFont="1" applyFill="1" applyAlignment="1" applyProtection="1">
      <alignment horizontal="center"/>
      <protection locked="0"/>
    </xf>
    <xf numFmtId="0" fontId="16" fillId="54" borderId="0" xfId="0" applyFont="1" applyFill="1" applyAlignment="1">
      <alignment horizontal="center"/>
    </xf>
    <xf numFmtId="0" fontId="16" fillId="55" borderId="0" xfId="0" applyFont="1" applyFill="1" applyAlignment="1" applyProtection="1">
      <alignment horizontal="center"/>
      <protection locked="0"/>
    </xf>
    <xf numFmtId="0" fontId="0" fillId="55" borderId="0" xfId="0" applyFill="1" applyAlignment="1" applyProtection="1">
      <alignment horizontal="center"/>
      <protection locked="0"/>
    </xf>
    <xf numFmtId="9" fontId="16" fillId="55" borderId="0" xfId="0" applyNumberFormat="1" applyFont="1" applyFill="1" applyAlignment="1" applyProtection="1">
      <alignment horizontal="center"/>
      <protection locked="0"/>
    </xf>
    <xf numFmtId="0" fontId="49" fillId="0" borderId="0" xfId="0" applyFont="1" applyAlignment="1" applyProtection="1">
      <alignment horizontal="left"/>
      <protection locked="0"/>
    </xf>
    <xf numFmtId="0" fontId="49" fillId="0" borderId="0" xfId="0" applyFont="1" applyProtection="1">
      <protection locked="0"/>
    </xf>
    <xf numFmtId="0" fontId="49" fillId="0" borderId="0" xfId="0" applyFont="1" applyAlignment="1">
      <alignment horizontal="left"/>
    </xf>
    <xf numFmtId="49" fontId="0" fillId="22" borderId="25" xfId="0" applyNumberFormat="1" applyFill="1" applyBorder="1" applyAlignment="1" applyProtection="1">
      <alignment horizontal="left"/>
      <protection locked="0"/>
    </xf>
    <xf numFmtId="0" fontId="25" fillId="53" borderId="0" xfId="0" applyFont="1" applyFill="1" applyAlignment="1" applyProtection="1">
      <alignment horizontal="center" vertical="center"/>
      <protection locked="0"/>
    </xf>
    <xf numFmtId="0" fontId="40" fillId="2" borderId="0" xfId="0" applyFont="1" applyFill="1"/>
    <xf numFmtId="0" fontId="141" fillId="0" borderId="0" xfId="0" applyFont="1" applyAlignment="1">
      <alignment vertical="center"/>
    </xf>
    <xf numFmtId="0" fontId="0" fillId="48" borderId="0" xfId="0" applyFill="1" applyAlignment="1" applyProtection="1">
      <alignment horizontal="center"/>
      <protection locked="0"/>
    </xf>
    <xf numFmtId="0" fontId="37" fillId="0" borderId="0" xfId="0" applyFont="1" applyAlignment="1">
      <alignment horizontal="right"/>
    </xf>
    <xf numFmtId="0" fontId="136" fillId="12" borderId="0" xfId="0" applyFont="1" applyFill="1"/>
    <xf numFmtId="0" fontId="37" fillId="12" borderId="0" xfId="0" applyFont="1" applyFill="1" applyAlignment="1">
      <alignment horizontal="center"/>
    </xf>
    <xf numFmtId="2" fontId="17" fillId="12" borderId="0" xfId="0" applyNumberFormat="1" applyFont="1" applyFill="1"/>
    <xf numFmtId="0" fontId="16" fillId="12" borderId="0" xfId="0" applyFont="1" applyFill="1" applyProtection="1">
      <protection locked="0"/>
    </xf>
    <xf numFmtId="0" fontId="117" fillId="0" borderId="0" xfId="0" applyFont="1"/>
    <xf numFmtId="0" fontId="19" fillId="5" borderId="0" xfId="0" applyFont="1" applyFill="1"/>
    <xf numFmtId="49" fontId="0" fillId="22" borderId="27" xfId="0" applyNumberFormat="1" applyFill="1" applyBorder="1" applyAlignment="1" applyProtection="1">
      <alignment horizontal="left" shrinkToFit="1"/>
      <protection locked="0"/>
    </xf>
    <xf numFmtId="0" fontId="0" fillId="22" borderId="0" xfId="0" applyFill="1" applyAlignment="1">
      <alignment horizontal="left"/>
    </xf>
    <xf numFmtId="0" fontId="0" fillId="22" borderId="27" xfId="0" applyFill="1" applyBorder="1" applyAlignment="1">
      <alignment horizontal="left"/>
    </xf>
    <xf numFmtId="49" fontId="0" fillId="22" borderId="0" xfId="0" applyNumberFormat="1" applyFill="1" applyAlignment="1" applyProtection="1">
      <alignment horizontal="left" shrinkToFit="1"/>
      <protection locked="0"/>
    </xf>
    <xf numFmtId="49" fontId="0" fillId="22" borderId="24" xfId="0" applyNumberFormat="1" applyFill="1" applyBorder="1" applyAlignment="1" applyProtection="1">
      <alignment horizontal="left"/>
      <protection locked="0"/>
    </xf>
    <xf numFmtId="49" fontId="0" fillId="22" borderId="27" xfId="0" applyNumberFormat="1" applyFill="1" applyBorder="1" applyAlignment="1" applyProtection="1">
      <alignment horizontal="left" shrinkToFit="1"/>
      <protection locked="0"/>
    </xf>
    <xf numFmtId="0" fontId="0" fillId="22" borderId="0" xfId="0" applyFill="1" applyAlignment="1" applyProtection="1">
      <alignment horizontal="left"/>
      <protection locked="0"/>
    </xf>
    <xf numFmtId="0" fontId="0" fillId="22" borderId="27" xfId="0" applyFill="1" applyBorder="1" applyAlignment="1" applyProtection="1">
      <alignment horizontal="left"/>
      <protection locked="0"/>
    </xf>
    <xf numFmtId="49" fontId="0" fillId="22" borderId="29" xfId="0" applyNumberFormat="1" applyFill="1" applyBorder="1" applyAlignment="1" applyProtection="1">
      <alignment horizontal="left" shrinkToFit="1"/>
      <protection locked="0" hidden="1"/>
    </xf>
    <xf numFmtId="49" fontId="0" fillId="22" borderId="30" xfId="0" applyNumberFormat="1" applyFill="1" applyBorder="1" applyAlignment="1" applyProtection="1">
      <alignment horizontal="left" shrinkToFit="1"/>
      <protection locked="0" hidden="1"/>
    </xf>
    <xf numFmtId="0" fontId="42" fillId="22" borderId="0" xfId="4" applyFill="1" applyBorder="1" applyAlignment="1" applyProtection="1">
      <alignment horizontal="left" shrinkToFit="1"/>
      <protection locked="0"/>
    </xf>
    <xf numFmtId="49" fontId="0" fillId="22" borderId="29" xfId="0" applyNumberFormat="1" applyFill="1" applyBorder="1" applyAlignment="1" applyProtection="1">
      <alignment horizontal="left" shrinkToFit="1"/>
      <protection locked="0"/>
    </xf>
    <xf numFmtId="49" fontId="0" fillId="22" borderId="30" xfId="0" applyNumberFormat="1" applyFill="1" applyBorder="1" applyAlignment="1" applyProtection="1">
      <alignment horizontal="left" shrinkToFit="1"/>
      <protection locked="0"/>
    </xf>
    <xf numFmtId="0" fontId="0" fillId="22" borderId="0" xfId="0" applyFill="1" applyAlignment="1" applyProtection="1">
      <alignment horizontal="left" shrinkToFit="1"/>
      <protection locked="0"/>
    </xf>
    <xf numFmtId="0" fontId="58" fillId="21" borderId="31" xfId="0" applyFont="1" applyFill="1" applyBorder="1" applyAlignment="1">
      <alignment horizontal="center" vertical="center"/>
    </xf>
    <xf numFmtId="0" fontId="58" fillId="21" borderId="32" xfId="0" applyFont="1" applyFill="1" applyBorder="1" applyAlignment="1">
      <alignment horizontal="center" vertical="center"/>
    </xf>
    <xf numFmtId="0" fontId="58" fillId="21" borderId="33" xfId="0" applyFont="1" applyFill="1" applyBorder="1" applyAlignment="1">
      <alignment horizontal="center" vertical="center"/>
    </xf>
    <xf numFmtId="0" fontId="0" fillId="0" borderId="0" xfId="0" applyAlignment="1">
      <alignment horizontal="center" vertical="top" wrapText="1"/>
    </xf>
    <xf numFmtId="0" fontId="0" fillId="21" borderId="0" xfId="0" applyFill="1" applyAlignment="1">
      <alignment horizontal="left" vertical="center"/>
    </xf>
    <xf numFmtId="0" fontId="25" fillId="21" borderId="0" xfId="0" applyFont="1" applyFill="1" applyAlignment="1">
      <alignment horizontal="left"/>
    </xf>
    <xf numFmtId="0" fontId="0" fillId="0" borderId="0" xfId="0" applyAlignment="1">
      <alignment horizontal="left" shrinkToFit="1"/>
    </xf>
    <xf numFmtId="0" fontId="0" fillId="22" borderId="29" xfId="0" applyFill="1" applyBorder="1" applyAlignment="1" applyProtection="1">
      <alignment horizontal="left" shrinkToFit="1"/>
      <protection locked="0"/>
    </xf>
    <xf numFmtId="49" fontId="0" fillId="22" borderId="24" xfId="0" applyNumberFormat="1" applyFill="1" applyBorder="1" applyAlignment="1" applyProtection="1">
      <alignment horizontal="center"/>
      <protection locked="0"/>
    </xf>
    <xf numFmtId="49" fontId="0" fillId="22" borderId="25" xfId="0" applyNumberFormat="1" applyFill="1" applyBorder="1" applyAlignment="1" applyProtection="1">
      <alignment horizontal="center"/>
      <protection locked="0"/>
    </xf>
    <xf numFmtId="0" fontId="135" fillId="0" borderId="0" xfId="0" applyFont="1" applyAlignment="1">
      <alignment horizontal="justify" vertical="top" wrapText="1"/>
    </xf>
    <xf numFmtId="0" fontId="88" fillId="0" borderId="0" xfId="0" applyFont="1" applyAlignment="1">
      <alignment horizontal="justify" vertical="top" wrapText="1"/>
    </xf>
    <xf numFmtId="0" fontId="88" fillId="0" borderId="0" xfId="0" applyFont="1" applyAlignment="1">
      <alignment horizontal="justify" vertical="top"/>
    </xf>
    <xf numFmtId="0" fontId="38" fillId="0" borderId="0" xfId="0" applyFont="1" applyAlignment="1">
      <alignment vertical="top" wrapText="1"/>
    </xf>
    <xf numFmtId="0" fontId="37" fillId="0" borderId="0" xfId="0" applyFont="1" applyAlignment="1">
      <alignment shrinkToFit="1"/>
    </xf>
    <xf numFmtId="0" fontId="46" fillId="21" borderId="0" xfId="0" applyFont="1" applyFill="1" applyAlignment="1">
      <alignment horizontal="left"/>
    </xf>
    <xf numFmtId="0" fontId="38" fillId="0" borderId="18" xfId="0" applyFont="1" applyBorder="1" applyAlignment="1">
      <alignment horizontal="left" shrinkToFit="1"/>
    </xf>
    <xf numFmtId="0" fontId="38" fillId="0" borderId="0" xfId="0" applyFont="1" applyAlignment="1">
      <alignment horizontal="left" shrinkToFit="1"/>
    </xf>
    <xf numFmtId="0" fontId="38" fillId="0" borderId="0" xfId="0" applyFont="1" applyAlignment="1">
      <alignment horizontal="center"/>
    </xf>
    <xf numFmtId="0" fontId="38" fillId="0" borderId="12" xfId="0" applyFont="1" applyBorder="1" applyAlignment="1">
      <alignment horizontal="center"/>
    </xf>
    <xf numFmtId="0" fontId="46" fillId="0" borderId="0" xfId="0" applyFont="1" applyAlignment="1">
      <alignment horizontal="left" shrinkToFit="1"/>
    </xf>
    <xf numFmtId="0" fontId="3" fillId="21" borderId="0" xfId="0" applyFont="1" applyFill="1" applyAlignment="1">
      <alignment horizontal="left" vertical="center" shrinkToFit="1"/>
    </xf>
    <xf numFmtId="0" fontId="9" fillId="21" borderId="0" xfId="0" applyFont="1" applyFill="1" applyAlignment="1">
      <alignment horizontal="left" vertical="center" shrinkToFit="1"/>
    </xf>
    <xf numFmtId="0" fontId="46" fillId="0" borderId="0" xfId="0" applyFont="1" applyAlignment="1" applyProtection="1">
      <alignment horizontal="left" shrinkToFit="1"/>
      <protection locked="0"/>
    </xf>
    <xf numFmtId="0" fontId="45" fillId="21" borderId="0" xfId="0" applyFont="1" applyFill="1" applyAlignment="1" applyProtection="1">
      <alignment horizontal="left" shrinkToFit="1"/>
      <protection locked="0"/>
    </xf>
    <xf numFmtId="49" fontId="46" fillId="21" borderId="0" xfId="0" applyNumberFormat="1" applyFont="1" applyFill="1" applyAlignment="1" applyProtection="1">
      <alignment horizontal="left" shrinkToFit="1"/>
      <protection locked="0"/>
    </xf>
    <xf numFmtId="0" fontId="46" fillId="21" borderId="0" xfId="0" applyFont="1" applyFill="1" applyAlignment="1">
      <alignment horizontal="center" vertical="center" wrapText="1"/>
    </xf>
    <xf numFmtId="0" fontId="49" fillId="0" borderId="0" xfId="0" applyFont="1" applyAlignment="1" applyProtection="1">
      <alignment horizontal="left" shrinkToFit="1"/>
      <protection locked="0"/>
    </xf>
    <xf numFmtId="0" fontId="46" fillId="21" borderId="0" xfId="0" applyFont="1" applyFill="1" applyAlignment="1" applyProtection="1">
      <alignment horizontal="left" shrinkToFit="1"/>
      <protection locked="0"/>
    </xf>
    <xf numFmtId="0" fontId="46" fillId="0" borderId="0" xfId="0" applyFont="1" applyAlignment="1" applyProtection="1">
      <alignment horizontal="left" vertical="top" wrapText="1"/>
      <protection locked="0"/>
    </xf>
    <xf numFmtId="0" fontId="38" fillId="0" borderId="20" xfId="0" applyFont="1" applyBorder="1" applyAlignment="1">
      <alignment horizontal="left" shrinkToFit="1"/>
    </xf>
    <xf numFmtId="49" fontId="49" fillId="0" borderId="0" xfId="0" applyNumberFormat="1" applyFont="1" applyAlignment="1" applyProtection="1">
      <alignment horizontal="left" shrinkToFit="1"/>
      <protection locked="0"/>
    </xf>
    <xf numFmtId="0" fontId="38" fillId="0" borderId="20" xfId="0" applyFont="1" applyBorder="1" applyAlignment="1">
      <alignment horizontal="center"/>
    </xf>
    <xf numFmtId="176" fontId="46" fillId="21" borderId="0" xfId="0" applyNumberFormat="1" applyFont="1" applyFill="1" applyAlignment="1" applyProtection="1">
      <alignment horizontal="left" shrinkToFit="1"/>
      <protection locked="0"/>
    </xf>
    <xf numFmtId="172" fontId="46" fillId="21" borderId="0" xfId="0" applyNumberFormat="1" applyFont="1" applyFill="1" applyAlignment="1" applyProtection="1">
      <alignment horizontal="left" shrinkToFit="1"/>
      <protection locked="0"/>
    </xf>
    <xf numFmtId="0" fontId="133" fillId="0" borderId="0" xfId="0" applyFont="1" applyAlignment="1">
      <alignment horizontal="left" vertical="center"/>
    </xf>
    <xf numFmtId="0" fontId="44" fillId="0" borderId="21" xfId="0" applyFont="1" applyBorder="1" applyAlignment="1">
      <alignment horizontal="left" shrinkToFit="1"/>
    </xf>
    <xf numFmtId="0" fontId="90" fillId="0" borderId="0" xfId="0" applyFont="1" applyAlignment="1">
      <alignment horizontal="left" vertical="top" wrapText="1"/>
    </xf>
    <xf numFmtId="0" fontId="44" fillId="0" borderId="21" xfId="0" applyFont="1" applyBorder="1" applyAlignment="1">
      <alignment horizontal="center" shrinkToFit="1"/>
    </xf>
    <xf numFmtId="0" fontId="44" fillId="0" borderId="13" xfId="0" applyFont="1" applyBorder="1" applyAlignment="1">
      <alignment horizontal="center" shrinkToFit="1"/>
    </xf>
    <xf numFmtId="0" fontId="19" fillId="0" borderId="0" xfId="0" applyFont="1" applyAlignment="1">
      <alignment horizontal="justify" vertical="top" wrapText="1"/>
    </xf>
    <xf numFmtId="0" fontId="128" fillId="21" borderId="0" xfId="0" applyFont="1" applyFill="1" applyAlignment="1">
      <alignment horizontal="left" vertical="center"/>
    </xf>
    <xf numFmtId="0" fontId="38" fillId="0" borderId="19" xfId="0" applyFont="1" applyBorder="1" applyAlignment="1">
      <alignment horizontal="left" shrinkToFit="1"/>
    </xf>
    <xf numFmtId="0" fontId="38" fillId="0" borderId="21" xfId="0" applyFont="1" applyBorder="1" applyAlignment="1">
      <alignment horizontal="left" shrinkToFit="1"/>
    </xf>
    <xf numFmtId="0" fontId="38" fillId="0" borderId="0" xfId="0" applyFont="1" applyAlignment="1">
      <alignment horizontal="center" shrinkToFit="1"/>
    </xf>
    <xf numFmtId="0" fontId="38" fillId="0" borderId="12" xfId="0" applyFont="1" applyBorder="1" applyAlignment="1">
      <alignment horizontal="center" shrinkToFit="1"/>
    </xf>
    <xf numFmtId="0" fontId="38" fillId="0" borderId="20" xfId="0" applyFont="1" applyBorder="1" applyAlignment="1">
      <alignment horizontal="center" shrinkToFit="1"/>
    </xf>
    <xf numFmtId="0" fontId="38" fillId="0" borderId="11" xfId="0" applyFont="1" applyBorder="1" applyAlignment="1">
      <alignment horizontal="center" shrinkToFit="1"/>
    </xf>
    <xf numFmtId="0" fontId="38" fillId="0" borderId="17" xfId="0" applyFont="1" applyBorder="1" applyAlignment="1">
      <alignment horizontal="left" shrinkToFit="1"/>
    </xf>
    <xf numFmtId="172" fontId="45" fillId="21" borderId="0" xfId="0" applyNumberFormat="1" applyFont="1" applyFill="1" applyAlignment="1">
      <alignment horizontal="left" shrinkToFit="1"/>
    </xf>
    <xf numFmtId="172" fontId="46" fillId="21" borderId="0" xfId="0" applyNumberFormat="1" applyFont="1" applyFill="1" applyAlignment="1">
      <alignment horizontal="left" shrinkToFit="1"/>
    </xf>
    <xf numFmtId="49" fontId="46" fillId="21" borderId="0" xfId="0" applyNumberFormat="1" applyFont="1" applyFill="1" applyAlignment="1">
      <alignment horizontal="left" shrinkToFit="1"/>
    </xf>
    <xf numFmtId="0" fontId="46" fillId="21" borderId="0" xfId="0" applyFont="1" applyFill="1" applyAlignment="1">
      <alignment horizontal="left" shrinkToFit="1"/>
    </xf>
    <xf numFmtId="0" fontId="45" fillId="21" borderId="0" xfId="0" applyFont="1" applyFill="1" applyAlignment="1">
      <alignment horizontal="left" shrinkToFit="1"/>
    </xf>
    <xf numFmtId="0" fontId="44" fillId="21" borderId="0" xfId="0" applyFont="1" applyFill="1" applyAlignment="1">
      <alignment horizontal="center" vertical="center" wrapText="1"/>
    </xf>
    <xf numFmtId="0" fontId="49" fillId="0" borderId="0" xfId="0" applyFont="1" applyAlignment="1">
      <alignment horizontal="left" shrinkToFit="1"/>
    </xf>
    <xf numFmtId="0" fontId="49" fillId="0" borderId="0" xfId="0" applyFont="1" applyAlignment="1">
      <alignment horizontal="left" vertical="center" shrinkToFit="1"/>
    </xf>
    <xf numFmtId="0" fontId="46" fillId="0" borderId="0" xfId="0" applyFont="1" applyAlignment="1">
      <alignment horizontal="left" vertical="top" wrapText="1" shrinkToFit="1"/>
    </xf>
    <xf numFmtId="49" fontId="49" fillId="0" borderId="0" xfId="0" applyNumberFormat="1" applyFont="1" applyAlignment="1">
      <alignment horizontal="left" shrinkToFit="1"/>
    </xf>
    <xf numFmtId="0" fontId="55" fillId="0" borderId="0" xfId="0" applyFont="1" applyAlignment="1" applyProtection="1">
      <alignment horizontal="left" shrinkToFit="1"/>
      <protection locked="0"/>
    </xf>
    <xf numFmtId="0" fontId="55" fillId="0" borderId="0" xfId="0" applyFont="1" applyAlignment="1">
      <alignment horizontal="left" shrinkToFit="1"/>
    </xf>
    <xf numFmtId="0" fontId="44" fillId="21" borderId="21" xfId="0" applyFont="1" applyFill="1" applyBorder="1" applyAlignment="1">
      <alignment horizontal="center" vertical="center" wrapText="1"/>
    </xf>
    <xf numFmtId="49" fontId="55" fillId="0" borderId="0" xfId="0" applyNumberFormat="1" applyFont="1" applyAlignment="1" applyProtection="1">
      <alignment horizontal="left" shrinkToFit="1"/>
      <protection locked="0"/>
    </xf>
    <xf numFmtId="49" fontId="55" fillId="0" borderId="0" xfId="0" applyNumberFormat="1" applyFont="1" applyAlignment="1">
      <alignment horizontal="left" shrinkToFit="1"/>
    </xf>
    <xf numFmtId="49" fontId="46" fillId="21" borderId="0" xfId="0" applyNumberFormat="1" applyFont="1" applyFill="1" applyAlignment="1">
      <alignment horizontal="left"/>
    </xf>
    <xf numFmtId="49" fontId="46" fillId="0" borderId="0" xfId="0" applyNumberFormat="1" applyFont="1" applyAlignment="1">
      <alignment horizontal="left" shrinkToFit="1"/>
    </xf>
    <xf numFmtId="0" fontId="46" fillId="0" borderId="0" xfId="0" applyFont="1" applyAlignment="1">
      <alignment vertical="top" wrapText="1" shrinkToFit="1"/>
    </xf>
    <xf numFmtId="0" fontId="38" fillId="0" borderId="18" xfId="0" applyFont="1" applyBorder="1" applyAlignment="1">
      <alignment horizontal="left"/>
    </xf>
    <xf numFmtId="0" fontId="38" fillId="0" borderId="0" xfId="0" applyFont="1" applyAlignment="1">
      <alignment horizontal="left"/>
    </xf>
    <xf numFmtId="49" fontId="46" fillId="21" borderId="0" xfId="0" applyNumberFormat="1" applyFont="1" applyFill="1" applyAlignment="1">
      <alignment horizontal="right" shrinkToFit="1"/>
    </xf>
    <xf numFmtId="49" fontId="46" fillId="21" borderId="0" xfId="0" applyNumberFormat="1" applyFont="1" applyFill="1" applyAlignment="1">
      <alignment horizontal="right"/>
    </xf>
    <xf numFmtId="0" fontId="118" fillId="21" borderId="0" xfId="0" applyFont="1" applyFill="1" applyAlignment="1">
      <alignment horizontal="center" vertical="center" wrapText="1"/>
    </xf>
    <xf numFmtId="0" fontId="71" fillId="21" borderId="0" xfId="0" applyFont="1" applyFill="1" applyAlignment="1">
      <alignment horizontal="center" vertical="center"/>
    </xf>
    <xf numFmtId="0" fontId="5" fillId="0" borderId="0" xfId="0" applyFont="1" applyAlignment="1">
      <alignment shrinkToFit="1"/>
    </xf>
    <xf numFmtId="0" fontId="19" fillId="0" borderId="0" xfId="0" applyFont="1" applyAlignment="1">
      <alignment shrinkToFit="1"/>
    </xf>
    <xf numFmtId="0" fontId="38" fillId="20" borderId="0" xfId="0" applyFont="1" applyFill="1" applyAlignment="1">
      <alignment horizontal="left" indent="1"/>
    </xf>
    <xf numFmtId="0" fontId="5" fillId="0" borderId="0" xfId="0" applyFont="1" applyAlignment="1">
      <alignment horizontal="left" shrinkToFit="1"/>
    </xf>
    <xf numFmtId="0" fontId="5" fillId="0" borderId="0" xfId="0" applyFont="1" applyAlignment="1">
      <alignment horizontal="center" shrinkToFit="1"/>
    </xf>
    <xf numFmtId="0" fontId="25" fillId="18" borderId="0" xfId="0" applyFont="1" applyFill="1" applyAlignment="1">
      <alignment horizontal="center" vertical="top" textRotation="90" shrinkToFit="1"/>
    </xf>
    <xf numFmtId="0" fontId="25" fillId="19" borderId="0" xfId="0" applyFont="1" applyFill="1" applyAlignment="1">
      <alignment horizontal="center" vertical="top" textRotation="90" shrinkToFit="1"/>
    </xf>
    <xf numFmtId="0" fontId="75" fillId="19" borderId="0" xfId="0" applyFont="1" applyFill="1" applyAlignment="1">
      <alignment horizontal="left" shrinkToFit="1"/>
    </xf>
    <xf numFmtId="0" fontId="75" fillId="15" borderId="0" xfId="0" applyFont="1" applyFill="1" applyAlignment="1">
      <alignment horizontal="left" shrinkToFit="1"/>
    </xf>
    <xf numFmtId="0" fontId="25" fillId="3" borderId="49" xfId="0" applyFont="1" applyFill="1" applyBorder="1" applyAlignment="1">
      <alignment horizontal="center"/>
    </xf>
    <xf numFmtId="0" fontId="25" fillId="3" borderId="50" xfId="0" applyFont="1" applyFill="1" applyBorder="1" applyAlignment="1">
      <alignment horizontal="center"/>
    </xf>
    <xf numFmtId="0" fontId="25" fillId="3" borderId="46" xfId="0" applyFont="1" applyFill="1" applyBorder="1" applyAlignment="1">
      <alignment horizontal="center"/>
    </xf>
    <xf numFmtId="0" fontId="25" fillId="3" borderId="47" xfId="0" applyFont="1" applyFill="1" applyBorder="1" applyAlignment="1">
      <alignment horizontal="center"/>
    </xf>
    <xf numFmtId="0" fontId="25" fillId="3" borderId="48" xfId="0" applyFont="1" applyFill="1" applyBorder="1" applyAlignment="1">
      <alignment horizontal="center"/>
    </xf>
    <xf numFmtId="0" fontId="25" fillId="3" borderId="53" xfId="0" applyFont="1" applyFill="1" applyBorder="1" applyAlignment="1">
      <alignment horizontal="center"/>
    </xf>
    <xf numFmtId="0" fontId="25" fillId="3" borderId="55" xfId="0" applyFont="1" applyFill="1" applyBorder="1" applyAlignment="1">
      <alignment horizontal="center"/>
    </xf>
    <xf numFmtId="0" fontId="25" fillId="3" borderId="54" xfId="0" applyFont="1" applyFill="1" applyBorder="1" applyAlignment="1">
      <alignment horizontal="center"/>
    </xf>
    <xf numFmtId="0" fontId="25" fillId="17" borderId="0" xfId="0" applyFont="1" applyFill="1" applyAlignment="1">
      <alignment horizontal="center" vertical="top" textRotation="90"/>
    </xf>
    <xf numFmtId="0" fontId="25" fillId="17" borderId="0" xfId="0" applyFont="1" applyFill="1" applyAlignment="1">
      <alignment horizontal="center" vertical="top" textRotation="90" shrinkToFit="1"/>
    </xf>
    <xf numFmtId="0" fontId="25" fillId="18" borderId="0" xfId="0" applyFont="1" applyFill="1" applyAlignment="1">
      <alignment horizontal="center" vertical="top" textRotation="90"/>
    </xf>
    <xf numFmtId="0" fontId="75" fillId="14" borderId="0" xfId="0" applyFont="1" applyFill="1" applyAlignment="1">
      <alignment horizontal="center" shrinkToFit="1"/>
    </xf>
    <xf numFmtId="0" fontId="25" fillId="0" borderId="0" xfId="0" applyFont="1" applyAlignment="1">
      <alignment horizontal="left"/>
    </xf>
    <xf numFmtId="0" fontId="25" fillId="15" borderId="0" xfId="0" applyFont="1" applyFill="1" applyAlignment="1">
      <alignment horizontal="center" vertical="top" textRotation="90"/>
    </xf>
    <xf numFmtId="0" fontId="75" fillId="13" borderId="0" xfId="0" applyFont="1" applyFill="1" applyAlignment="1">
      <alignment horizontal="left" shrinkToFit="1"/>
    </xf>
    <xf numFmtId="0" fontId="25" fillId="15" borderId="0" xfId="0" applyFont="1" applyFill="1" applyAlignment="1">
      <alignment horizontal="center" vertical="top" textRotation="90" shrinkToFit="1"/>
    </xf>
    <xf numFmtId="0" fontId="75" fillId="16" borderId="0" xfId="0" applyFont="1" applyFill="1" applyAlignment="1">
      <alignment horizontal="left" shrinkToFit="1"/>
    </xf>
    <xf numFmtId="0" fontId="75" fillId="17" borderId="0" xfId="0" applyFont="1" applyFill="1" applyAlignment="1">
      <alignment horizontal="center" shrinkToFit="1"/>
    </xf>
    <xf numFmtId="0" fontId="75" fillId="18" borderId="0" xfId="0" applyFont="1" applyFill="1" applyAlignment="1">
      <alignment horizontal="left" shrinkToFit="1"/>
    </xf>
    <xf numFmtId="0" fontId="75" fillId="6" borderId="0" xfId="0" applyFont="1" applyFill="1" applyAlignment="1">
      <alignment horizontal="left" shrinkToFit="1"/>
    </xf>
    <xf numFmtId="0" fontId="25" fillId="0" borderId="0" xfId="0" applyFont="1" applyAlignment="1">
      <alignment horizontal="left" vertical="center"/>
    </xf>
    <xf numFmtId="0" fontId="25" fillId="13" borderId="0" xfId="0" applyFont="1" applyFill="1" applyAlignment="1">
      <alignment horizontal="center" textRotation="90" shrinkToFit="1"/>
    </xf>
    <xf numFmtId="0" fontId="25" fillId="16" borderId="0" xfId="0" applyFont="1" applyFill="1" applyAlignment="1">
      <alignment horizontal="center" vertical="top" textRotation="90" shrinkToFit="1"/>
    </xf>
    <xf numFmtId="0" fontId="85" fillId="0" borderId="0" xfId="0" applyFont="1" applyAlignment="1">
      <alignment horizontal="left" wrapText="1"/>
    </xf>
    <xf numFmtId="0" fontId="85" fillId="0" borderId="0" xfId="0" applyFont="1" applyAlignment="1">
      <alignment horizontal="left" vertical="center" wrapText="1"/>
    </xf>
    <xf numFmtId="0" fontId="11" fillId="2" borderId="0" xfId="0" applyFont="1" applyFill="1" applyAlignment="1">
      <alignment horizontal="left" vertical="center" wrapText="1"/>
    </xf>
    <xf numFmtId="0" fontId="11" fillId="2" borderId="38" xfId="0" applyFont="1" applyFill="1" applyBorder="1" applyAlignment="1">
      <alignment horizontal="left" vertical="center" wrapText="1"/>
    </xf>
    <xf numFmtId="0" fontId="43" fillId="0" borderId="0" xfId="0" applyFont="1" applyAlignment="1" applyProtection="1">
      <alignment horizontal="center" vertical="center" wrapText="1"/>
      <protection locked="0"/>
    </xf>
    <xf numFmtId="0" fontId="34" fillId="18" borderId="0" xfId="0" applyFont="1" applyFill="1" applyAlignment="1">
      <alignment horizontal="left" vertical="center"/>
    </xf>
    <xf numFmtId="0" fontId="11" fillId="3" borderId="0" xfId="0" applyFont="1" applyFill="1" applyAlignment="1">
      <alignment horizontal="left" vertical="center"/>
    </xf>
    <xf numFmtId="0" fontId="43" fillId="0" borderId="0" xfId="0" applyFont="1" applyAlignment="1" applyProtection="1">
      <alignment horizontal="center" vertical="center" shrinkToFit="1"/>
      <protection locked="0"/>
    </xf>
    <xf numFmtId="0" fontId="43" fillId="0" borderId="62" xfId="0" applyFont="1" applyBorder="1" applyAlignment="1" applyProtection="1">
      <alignment horizontal="center" vertical="center" shrinkToFit="1"/>
      <protection locked="0"/>
    </xf>
    <xf numFmtId="0" fontId="36" fillId="0" borderId="61" xfId="0" applyFont="1" applyBorder="1" applyAlignment="1">
      <alignment horizontal="left" vertical="top" wrapText="1"/>
    </xf>
    <xf numFmtId="0" fontId="124" fillId="0" borderId="62" xfId="0" applyFont="1" applyBorder="1" applyAlignment="1">
      <alignment horizontal="left" vertical="top" wrapText="1"/>
    </xf>
    <xf numFmtId="0" fontId="86" fillId="0" borderId="0" xfId="0" applyFont="1" applyAlignment="1">
      <alignment horizontal="left" vertical="top" wrapText="1"/>
    </xf>
    <xf numFmtId="0" fontId="114" fillId="0" borderId="0" xfId="0" applyFont="1" applyAlignment="1">
      <alignment horizontal="left" vertical="center" wrapText="1" indent="1"/>
    </xf>
    <xf numFmtId="0" fontId="36" fillId="0" borderId="0" xfId="0" applyFont="1" applyAlignment="1">
      <alignment horizontal="left" vertical="top" wrapText="1" indent="1"/>
    </xf>
    <xf numFmtId="0" fontId="34" fillId="19" borderId="0" xfId="0" applyFont="1" applyFill="1" applyAlignment="1">
      <alignment horizontal="left" vertical="center"/>
    </xf>
    <xf numFmtId="0" fontId="11" fillId="0" borderId="67" xfId="0" applyFont="1" applyBorder="1" applyAlignment="1">
      <alignment horizontal="center" vertical="center"/>
    </xf>
    <xf numFmtId="0" fontId="34" fillId="15" borderId="0" xfId="0" applyFont="1" applyFill="1" applyAlignment="1">
      <alignment horizontal="left" vertical="center"/>
    </xf>
    <xf numFmtId="0" fontId="34" fillId="16" borderId="0" xfId="0" applyFont="1" applyFill="1" applyAlignment="1">
      <alignment horizontal="left" vertical="center"/>
    </xf>
    <xf numFmtId="0" fontId="34" fillId="17" borderId="0" xfId="0" applyFont="1" applyFill="1" applyAlignment="1">
      <alignment horizontal="left" vertical="center"/>
    </xf>
    <xf numFmtId="0" fontId="34" fillId="13" borderId="0" xfId="0" applyFont="1" applyFill="1" applyAlignment="1">
      <alignment horizontal="left" vertical="center"/>
    </xf>
    <xf numFmtId="0" fontId="0" fillId="20" borderId="32" xfId="0" applyFill="1" applyBorder="1" applyAlignment="1">
      <alignment horizontal="center" vertical="top" wrapText="1"/>
    </xf>
    <xf numFmtId="0" fontId="0" fillId="0" borderId="0" xfId="0" applyAlignment="1" applyProtection="1">
      <alignment horizontal="left"/>
      <protection locked="0"/>
    </xf>
    <xf numFmtId="0" fontId="0" fillId="0" borderId="0" xfId="0" applyAlignment="1">
      <alignment horizontal="left" vertical="top" wrapText="1"/>
    </xf>
    <xf numFmtId="0" fontId="117" fillId="10" borderId="0" xfId="0" applyFont="1" applyFill="1" applyAlignment="1">
      <alignment horizontal="center"/>
    </xf>
    <xf numFmtId="0" fontId="117" fillId="9" borderId="0" xfId="0" applyFont="1" applyFill="1" applyAlignment="1">
      <alignment horizontal="center"/>
    </xf>
    <xf numFmtId="0" fontId="117" fillId="3" borderId="0" xfId="0" applyFont="1" applyFill="1" applyAlignment="1">
      <alignment horizontal="center"/>
    </xf>
    <xf numFmtId="14" fontId="0" fillId="0" borderId="0" xfId="0" applyNumberFormat="1"/>
  </cellXfs>
  <cellStyles count="8">
    <cellStyle name="Currency" xfId="1" builtinId="4"/>
    <cellStyle name="Currency 2" xfId="3" xr:uid="{00000000-0005-0000-0000-000001000000}"/>
    <cellStyle name="Currency 2 2" xfId="6" xr:uid="{00000000-0005-0000-0000-000002000000}"/>
    <cellStyle name="Currency 3" xfId="5" xr:uid="{00000000-0005-0000-0000-000003000000}"/>
    <cellStyle name="Hyperlink" xfId="4" builtinId="8"/>
    <cellStyle name="Normal" xfId="0" builtinId="0"/>
    <cellStyle name="Percent" xfId="2" builtinId="5"/>
    <cellStyle name="TOTAL_Dark" xfId="7" xr:uid="{1BD1014D-99D4-4F1E-9B98-53F000783C65}"/>
  </cellStyles>
  <dxfs count="276">
    <dxf>
      <numFmt numFmtId="181" formatCode="_-[$USD]\ * #,##0_-;\-[$USD]\ * #,##0_-;_-[$USD]\ * &quot;-&quot;_-;_-@_-"/>
    </dxf>
    <dxf>
      <numFmt numFmtId="182" formatCode="_-[$€-2]\ * #,##0_-;\-[$€-2]\ * #,##0_-;_-[$€-2]\ * &quot;-&quot;_-;_-@_-"/>
    </dxf>
    <dxf>
      <font>
        <b/>
        <i val="0"/>
        <color rgb="FFFF0000"/>
      </font>
    </dxf>
    <dxf>
      <numFmt numFmtId="181" formatCode="_-[$USD]\ * #,##0_-;\-[$USD]\ * #,##0_-;_-[$USD]\ * &quot;-&quot;_-;_-@_-"/>
    </dxf>
    <dxf>
      <numFmt numFmtId="182" formatCode="_-[$€-2]\ * #,##0_-;\-[$€-2]\ * #,##0_-;_-[$€-2]\ * &quot;-&quot;_-;_-@_-"/>
    </dxf>
    <dxf>
      <font>
        <b/>
        <i val="0"/>
        <color rgb="FFFF0000"/>
      </font>
    </dxf>
    <dxf>
      <numFmt numFmtId="181" formatCode="_-[$USD]\ * #,##0_-;\-[$USD]\ * #,##0_-;_-[$USD]\ * &quot;-&quot;_-;_-@_-"/>
    </dxf>
    <dxf>
      <numFmt numFmtId="182" formatCode="_-[$€-2]\ * #,##0_-;\-[$€-2]\ * #,##0_-;_-[$€-2]\ * &quot;-&quot;_-;_-@_-"/>
    </dxf>
    <dxf>
      <font>
        <b/>
        <i val="0"/>
        <color rgb="FFFF0000"/>
      </font>
    </dxf>
    <dxf>
      <numFmt numFmtId="181" formatCode="_-[$USD]\ * #,##0_-;\-[$USD]\ * #,##0_-;_-[$USD]\ * &quot;-&quot;_-;_-@_-"/>
    </dxf>
    <dxf>
      <numFmt numFmtId="182" formatCode="_-[$€-2]\ * #,##0_-;\-[$€-2]\ * #,##0_-;_-[$€-2]\ * &quot;-&quot;_-;_-@_-"/>
    </dxf>
    <dxf>
      <font>
        <b/>
        <i val="0"/>
        <color rgb="FFFF0000"/>
      </font>
    </dxf>
    <dxf>
      <numFmt numFmtId="181" formatCode="_-[$USD]\ * #,##0_-;\-[$USD]\ * #,##0_-;_-[$USD]\ * &quot;-&quot;_-;_-@_-"/>
    </dxf>
    <dxf>
      <numFmt numFmtId="182" formatCode="_-[$€-2]\ * #,##0_-;\-[$€-2]\ * #,##0_-;_-[$€-2]\ * &quot;-&quot;_-;_-@_-"/>
    </dxf>
    <dxf>
      <font>
        <b/>
        <i val="0"/>
        <color rgb="FFFF0000"/>
      </font>
    </dxf>
    <dxf>
      <numFmt numFmtId="181" formatCode="_-[$USD]\ * #,##0_-;\-[$USD]\ * #,##0_-;_-[$USD]\ * &quot;-&quot;_-;_-@_-"/>
    </dxf>
    <dxf>
      <numFmt numFmtId="182" formatCode="_-[$€-2]\ * #,##0_-;\-[$€-2]\ * #,##0_-;_-[$€-2]\ * &quot;-&quot;_-;_-@_-"/>
    </dxf>
    <dxf>
      <font>
        <b/>
        <i val="0"/>
        <color rgb="FFFF0000"/>
      </font>
    </dxf>
    <dxf>
      <numFmt numFmtId="181" formatCode="_-[$USD]\ * #,##0_-;\-[$USD]\ * #,##0_-;_-[$USD]\ * &quot;-&quot;_-;_-@_-"/>
    </dxf>
    <dxf>
      <numFmt numFmtId="182" formatCode="_-[$€-2]\ * #,##0_-;\-[$€-2]\ * #,##0_-;_-[$€-2]\ * &quot;-&quot;_-;_-@_-"/>
    </dxf>
    <dxf>
      <font>
        <b/>
        <i val="0"/>
        <color rgb="FFFF0000"/>
      </font>
    </dxf>
    <dxf>
      <numFmt numFmtId="181" formatCode="_-[$USD]\ * #,##0_-;\-[$USD]\ * #,##0_-;_-[$USD]\ * &quot;-&quot;_-;_-@_-"/>
    </dxf>
    <dxf>
      <numFmt numFmtId="182" formatCode="_-[$€-2]\ * #,##0_-;\-[$€-2]\ * #,##0_-;_-[$€-2]\ * &quot;-&quot;_-;_-@_-"/>
    </dxf>
    <dxf>
      <numFmt numFmtId="181" formatCode="_-[$USD]\ * #,##0_-;\-[$USD]\ * #,##0_-;_-[$USD]\ * &quot;-&quot;_-;_-@_-"/>
    </dxf>
    <dxf>
      <numFmt numFmtId="182" formatCode="_-[$€-2]\ * #,##0_-;\-[$€-2]\ * #,##0_-;_-[$€-2]\ * &quot;-&quot;_-;_-@_-"/>
    </dxf>
    <dxf>
      <font>
        <b/>
        <i val="0"/>
        <color rgb="FFFF0000"/>
      </font>
    </dxf>
    <dxf>
      <font>
        <b/>
        <i val="0"/>
        <u/>
        <color theme="7"/>
      </font>
      <numFmt numFmtId="0" formatCode="General"/>
      <border>
        <left style="thin">
          <color auto="1"/>
        </left>
        <right style="thin">
          <color auto="1"/>
        </right>
        <top style="thin">
          <color auto="1"/>
        </top>
        <bottom style="thin">
          <color auto="1"/>
        </bottom>
      </border>
    </dxf>
    <dxf>
      <font>
        <color theme="0"/>
      </font>
      <fill>
        <patternFill patternType="none">
          <bgColor auto="1"/>
        </patternFill>
      </fill>
    </dxf>
    <dxf>
      <font>
        <color theme="0"/>
      </font>
      <fill>
        <patternFill patternType="none">
          <bgColor auto="1"/>
        </patternFill>
      </fill>
    </dxf>
    <dxf>
      <numFmt numFmtId="183" formatCode=";;;"/>
      <border>
        <left/>
        <right/>
        <top/>
        <bottom/>
        <vertical/>
        <horizontal/>
      </border>
    </dxf>
    <dxf>
      <font>
        <color theme="0"/>
      </font>
      <fill>
        <patternFill patternType="none">
          <bgColor auto="1"/>
        </patternFill>
      </fill>
    </dxf>
    <dxf>
      <font>
        <color rgb="FFFF0000"/>
      </font>
    </dxf>
    <dxf>
      <font>
        <color theme="0"/>
      </font>
      <fill>
        <patternFill patternType="none">
          <bgColor auto="1"/>
        </patternFill>
      </fill>
    </dxf>
    <dxf>
      <numFmt numFmtId="183" formatCode=";;;"/>
    </dxf>
    <dxf>
      <numFmt numFmtId="181" formatCode="_-[$USD]\ * #,##0_-;\-[$USD]\ * #,##0_-;_-[$USD]\ * &quot;-&quot;_-;_-@_-"/>
    </dxf>
    <dxf>
      <numFmt numFmtId="182" formatCode="_-[$€-2]\ * #,##0_-;\-[$€-2]\ * #,##0_-;_-[$€-2]\ * &quot;-&quot;_-;_-@_-"/>
    </dxf>
    <dxf>
      <font>
        <b/>
        <i val="0"/>
        <color rgb="FFFF0000"/>
      </font>
    </dxf>
    <dxf>
      <font>
        <color theme="0"/>
      </font>
      <fill>
        <patternFill patternType="none">
          <bgColor auto="1"/>
        </patternFill>
      </fill>
    </dxf>
    <dxf>
      <numFmt numFmtId="183" formatCode=";;;"/>
      <border>
        <left/>
        <right/>
        <top/>
        <bottom/>
        <vertical/>
        <horizontal/>
      </border>
    </dxf>
    <dxf>
      <font>
        <color theme="0"/>
      </font>
      <fill>
        <patternFill patternType="none">
          <bgColor auto="1"/>
        </patternFill>
      </fill>
    </dxf>
    <dxf>
      <font>
        <color theme="0"/>
      </font>
      <fill>
        <patternFill patternType="none">
          <bgColor auto="1"/>
        </patternFill>
      </fill>
    </dxf>
    <dxf>
      <numFmt numFmtId="183" formatCode=";;;"/>
    </dxf>
    <dxf>
      <numFmt numFmtId="181" formatCode="_-[$USD]\ * #,##0_-;\-[$USD]\ * #,##0_-;_-[$USD]\ * &quot;-&quot;_-;_-@_-"/>
    </dxf>
    <dxf>
      <numFmt numFmtId="182" formatCode="_-[$€-2]\ * #,##0_-;\-[$€-2]\ * #,##0_-;_-[$€-2]\ * &quot;-&quot;_-;_-@_-"/>
    </dxf>
    <dxf>
      <font>
        <b/>
        <i val="0"/>
        <color rgb="FFFF000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numFmt numFmtId="183" formatCode=";;;"/>
      <border>
        <left/>
        <right/>
        <top/>
        <bottom/>
        <vertical/>
        <horizontal/>
      </border>
    </dxf>
    <dxf>
      <numFmt numFmtId="181" formatCode="_-[$USD]\ * #,##0_-;\-[$USD]\ * #,##0_-;_-[$USD]\ * &quot;-&quot;_-;_-@_-"/>
    </dxf>
    <dxf>
      <numFmt numFmtId="182" formatCode="_-[$€-2]\ * #,##0_-;\-[$€-2]\ * #,##0_-;_-[$€-2]\ * &quot;-&quot;_-;_-@_-"/>
    </dxf>
    <dxf>
      <font>
        <color theme="0"/>
      </font>
      <fill>
        <patternFill patternType="none">
          <bgColor auto="1"/>
        </patternFill>
      </fill>
    </dxf>
    <dxf>
      <numFmt numFmtId="183" formatCode=";;;"/>
    </dxf>
    <dxf>
      <numFmt numFmtId="183" formatCode=";;;"/>
    </dxf>
    <dxf>
      <numFmt numFmtId="183" formatCode=";;;"/>
    </dxf>
    <dxf>
      <font>
        <color rgb="FFFF0000"/>
      </font>
    </dxf>
    <dxf>
      <font>
        <color theme="0" tint="-0.14996795556505021"/>
      </font>
    </dxf>
    <dxf>
      <numFmt numFmtId="181" formatCode="_-[$USD]\ * #,##0_-;\-[$USD]\ * #,##0_-;_-[$USD]\ * &quot;-&quot;_-;_-@_-"/>
    </dxf>
    <dxf>
      <numFmt numFmtId="182" formatCode="_-[$€-2]\ * #,##0_-;\-[$€-2]\ * #,##0_-;_-[$€-2]\ * &quot;-&quot;_-;_-@_-"/>
    </dxf>
    <dxf>
      <numFmt numFmtId="183" formatCode=";;;"/>
    </dxf>
    <dxf>
      <font>
        <color theme="0" tint="-0.14996795556505021"/>
      </font>
    </dxf>
    <dxf>
      <font>
        <b/>
        <i val="0"/>
        <color rgb="FFFF0000"/>
      </font>
    </dxf>
    <dxf>
      <font>
        <color theme="0" tint="-0.24994659260841701"/>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numFmt numFmtId="183" formatCode=";;;"/>
      <border>
        <left/>
        <right/>
        <top/>
        <bottom/>
        <vertical/>
        <horizontal/>
      </border>
    </dxf>
    <dxf>
      <numFmt numFmtId="181" formatCode="_-[$USD]\ * #,##0_-;\-[$USD]\ * #,##0_-;_-[$USD]\ * &quot;-&quot;_-;_-@_-"/>
    </dxf>
    <dxf>
      <numFmt numFmtId="182" formatCode="_-[$€-2]\ * #,##0_-;\-[$€-2]\ * #,##0_-;_-[$€-2]\ * &quot;-&quot;_-;_-@_-"/>
    </dxf>
    <dxf>
      <font>
        <color theme="0"/>
      </font>
      <fill>
        <patternFill patternType="none">
          <bgColor auto="1"/>
        </patternFill>
      </fill>
    </dxf>
    <dxf>
      <font>
        <color theme="0"/>
      </font>
      <fill>
        <patternFill patternType="none">
          <bgColor auto="1"/>
        </patternFill>
      </fill>
    </dxf>
    <dxf>
      <numFmt numFmtId="183" formatCode=";;;"/>
    </dxf>
    <dxf>
      <numFmt numFmtId="183" formatCode=";;;"/>
    </dxf>
    <dxf>
      <numFmt numFmtId="183" formatCode=";;;"/>
    </dxf>
    <dxf>
      <font>
        <color rgb="FFFF0000"/>
      </font>
    </dxf>
    <dxf>
      <numFmt numFmtId="181" formatCode="_-[$USD]\ * #,##0_-;\-[$USD]\ * #,##0_-;_-[$USD]\ * &quot;-&quot;_-;_-@_-"/>
    </dxf>
    <dxf>
      <numFmt numFmtId="182" formatCode="_-[$€-2]\ * #,##0_-;\-[$€-2]\ * #,##0_-;_-[$€-2]\ * &quot;-&quot;_-;_-@_-"/>
    </dxf>
    <dxf>
      <font>
        <color theme="0" tint="-0.14996795556505021"/>
      </font>
    </dxf>
    <dxf>
      <font>
        <color theme="0" tint="-0.14996795556505021"/>
      </font>
    </dxf>
    <dxf>
      <numFmt numFmtId="183" formatCode=";;;"/>
    </dxf>
    <dxf>
      <font>
        <b/>
        <i val="0"/>
        <color rgb="FFFF000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numFmt numFmtId="183" formatCode=";;;"/>
      <border>
        <left/>
        <right/>
        <top/>
        <bottom/>
        <vertical/>
        <horizontal/>
      </border>
    </dxf>
    <dxf>
      <font>
        <color theme="0"/>
      </font>
      <fill>
        <patternFill patternType="none">
          <bgColor auto="1"/>
        </patternFill>
      </fill>
    </dxf>
    <dxf>
      <numFmt numFmtId="183" formatCode=";;;"/>
    </dxf>
    <dxf>
      <numFmt numFmtId="183" formatCode=";;;"/>
    </dxf>
    <dxf>
      <numFmt numFmtId="183" formatCode=";;;"/>
    </dxf>
    <dxf>
      <font>
        <color rgb="FFFF0000"/>
      </font>
    </dxf>
    <dxf>
      <numFmt numFmtId="181" formatCode="_-[$USD]\ * #,##0_-;\-[$USD]\ * #,##0_-;_-[$USD]\ * &quot;-&quot;_-;_-@_-"/>
    </dxf>
    <dxf>
      <numFmt numFmtId="182" formatCode="_-[$€-2]\ * #,##0_-;\-[$€-2]\ * #,##0_-;_-[$€-2]\ * &quot;-&quot;_-;_-@_-"/>
    </dxf>
    <dxf>
      <font>
        <color theme="0" tint="-0.14996795556505021"/>
      </font>
    </dxf>
    <dxf>
      <font>
        <color theme="0" tint="-0.14996795556505021"/>
      </font>
    </dxf>
    <dxf>
      <numFmt numFmtId="183" formatCode=";;;"/>
    </dxf>
    <dxf>
      <font>
        <b/>
        <i val="0"/>
        <color rgb="FFFF000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numFmt numFmtId="183" formatCode=";;;"/>
      <border>
        <left/>
        <right/>
        <top/>
        <bottom/>
        <vertical/>
        <horizontal/>
      </border>
    </dxf>
    <dxf>
      <font>
        <color theme="0"/>
      </font>
      <fill>
        <patternFill patternType="none">
          <bgColor auto="1"/>
        </patternFill>
      </fill>
    </dxf>
    <dxf>
      <numFmt numFmtId="183" formatCode=";;;"/>
    </dxf>
    <dxf>
      <font>
        <color theme="0" tint="-0.34998626667073579"/>
      </font>
    </dxf>
    <dxf>
      <numFmt numFmtId="183" formatCode=";;;"/>
    </dxf>
    <dxf>
      <font>
        <color theme="0" tint="-0.34998626667073579"/>
      </font>
    </dxf>
    <dxf>
      <numFmt numFmtId="183" formatCode=";;;"/>
    </dxf>
    <dxf>
      <font>
        <color rgb="FFFF0000"/>
      </font>
    </dxf>
    <dxf>
      <numFmt numFmtId="181" formatCode="_-[$USD]\ * #,##0_-;\-[$USD]\ * #,##0_-;_-[$USD]\ * &quot;-&quot;_-;_-@_-"/>
    </dxf>
    <dxf>
      <numFmt numFmtId="182" formatCode="_-[$€-2]\ * #,##0_-;\-[$€-2]\ * #,##0_-;_-[$€-2]\ * &quot;-&quot;_-;_-@_-"/>
    </dxf>
    <dxf>
      <numFmt numFmtId="183" formatCode=";;;"/>
    </dxf>
    <dxf>
      <font>
        <b/>
        <i val="0"/>
        <color rgb="FFFF0000"/>
      </font>
    </dxf>
    <dxf>
      <font>
        <color theme="0"/>
      </font>
      <fill>
        <patternFill patternType="none">
          <bgColor auto="1"/>
        </patternFill>
      </fill>
    </dxf>
    <dxf>
      <numFmt numFmtId="183" formatCode=";;;"/>
      <border>
        <left/>
        <right/>
        <top/>
        <bottom/>
        <vertical/>
        <horizontal/>
      </border>
    </dxf>
    <dxf>
      <font>
        <color theme="0"/>
      </font>
      <fill>
        <patternFill patternType="none">
          <bgColor auto="1"/>
        </patternFill>
      </fill>
    </dxf>
    <dxf>
      <font>
        <color theme="0"/>
      </font>
      <fill>
        <patternFill patternType="none">
          <bgColor auto="1"/>
        </patternFill>
      </fill>
    </dxf>
    <dxf>
      <numFmt numFmtId="183" formatCode=";;;"/>
    </dxf>
    <dxf>
      <numFmt numFmtId="181" formatCode="_-[$USD]\ * #,##0_-;\-[$USD]\ * #,##0_-;_-[$USD]\ * &quot;-&quot;_-;_-@_-"/>
    </dxf>
    <dxf>
      <numFmt numFmtId="182" formatCode="_-[$€-2]\ * #,##0_-;\-[$€-2]\ * #,##0_-;_-[$€-2]\ * &quot;-&quot;_-;_-@_-"/>
    </dxf>
    <dxf>
      <font>
        <b/>
        <i val="0"/>
        <color rgb="FFFF0000"/>
      </font>
    </dxf>
    <dxf>
      <font>
        <color theme="0"/>
      </font>
      <fill>
        <patternFill patternType="none">
          <bgColor auto="1"/>
        </patternFill>
      </fill>
    </dxf>
    <dxf>
      <numFmt numFmtId="183" formatCode=";;;"/>
      <border>
        <left/>
        <right/>
        <top/>
        <bottom/>
        <vertical/>
        <horizontal/>
      </border>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rgb="FFFF0000"/>
      </font>
    </dxf>
    <dxf>
      <numFmt numFmtId="183" formatCode=";;;"/>
    </dxf>
    <dxf>
      <numFmt numFmtId="181" formatCode="_-[$USD]\ * #,##0_-;\-[$USD]\ * #,##0_-;_-[$USD]\ * &quot;-&quot;_-;_-@_-"/>
    </dxf>
    <dxf>
      <numFmt numFmtId="182" formatCode="_-[$€-2]\ * #,##0_-;\-[$€-2]\ * #,##0_-;_-[$€-2]\ * &quot;-&quot;_-;_-@_-"/>
    </dxf>
    <dxf>
      <numFmt numFmtId="183" formatCode=";;;"/>
    </dxf>
    <dxf>
      <font>
        <b/>
        <i val="0"/>
        <color rgb="FFFF0000"/>
      </font>
    </dxf>
    <dxf>
      <font>
        <color theme="0" tint="-0.34998626667073579"/>
      </font>
    </dxf>
    <dxf>
      <fill>
        <patternFill patternType="none">
          <bgColor auto="1"/>
        </patternFill>
      </fill>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183" formatCode=";;;"/>
      <fill>
        <patternFill patternType="none">
          <bgColor auto="1"/>
        </patternFill>
      </fill>
      <border>
        <left/>
        <right/>
        <bottom/>
      </border>
    </dxf>
    <dxf>
      <font>
        <b/>
        <i val="0"/>
        <color rgb="FFC00000"/>
      </font>
    </dxf>
    <dxf>
      <font>
        <color rgb="FFC00000"/>
      </font>
    </dxf>
    <dxf>
      <font>
        <color rgb="FFFF0000"/>
      </font>
    </dxf>
    <dxf>
      <numFmt numFmtId="183" formatCode=";;;"/>
      <fill>
        <patternFill patternType="none">
          <bgColor auto="1"/>
        </patternFill>
      </fill>
      <border>
        <left/>
        <right/>
        <bottom/>
      </border>
    </dxf>
    <dxf>
      <font>
        <b/>
        <i val="0"/>
        <color rgb="FFFF0000"/>
      </font>
    </dxf>
    <dxf>
      <font>
        <color rgb="FFC00000"/>
      </font>
    </dxf>
    <dxf>
      <font>
        <color rgb="FFFF0000"/>
      </font>
    </dxf>
    <dxf>
      <font>
        <b/>
        <i val="0"/>
        <color rgb="FFFF0000"/>
      </font>
    </dxf>
    <dxf>
      <numFmt numFmtId="183" formatCode=";;;"/>
      <fill>
        <patternFill patternType="none">
          <bgColor auto="1"/>
        </patternFill>
      </fill>
      <border>
        <left/>
        <right/>
        <bottom/>
      </border>
    </dxf>
    <dxf>
      <font>
        <color rgb="FFFF0000"/>
      </font>
    </dxf>
    <dxf>
      <font>
        <u/>
      </font>
    </dxf>
    <dxf>
      <font>
        <color theme="1" tint="0.499984740745262"/>
      </font>
    </dxf>
    <dxf>
      <font>
        <color theme="0"/>
      </font>
      <numFmt numFmtId="0" formatCode="General"/>
      <fill>
        <patternFill patternType="solid">
          <fgColor indexed="64"/>
          <bgColor theme="1" tint="0.34998626667073579"/>
        </patternFill>
      </fill>
      <alignment horizontal="left" vertical="bottom" textRotation="0" wrapText="0" indent="0" justifyLastLine="0" shrinkToFit="0" readingOrder="0"/>
    </dxf>
    <dxf>
      <numFmt numFmtId="0" formatCode="General"/>
      <fill>
        <patternFill patternType="solid">
          <fgColor indexed="64"/>
          <bgColor theme="5" tint="-0.249977111117893"/>
        </patternFill>
      </fill>
    </dxf>
    <dxf>
      <numFmt numFmtId="0" formatCode="General"/>
      <fill>
        <patternFill patternType="solid">
          <fgColor indexed="64"/>
          <bgColor theme="5" tint="-0.249977111117893"/>
        </patternFill>
      </fill>
    </dxf>
    <dxf>
      <numFmt numFmtId="0" formatCode="General"/>
      <fill>
        <patternFill patternType="solid">
          <fgColor indexed="64"/>
          <bgColor theme="5" tint="-0.249977111117893"/>
        </patternFill>
      </fill>
    </dxf>
    <dxf>
      <numFmt numFmtId="0" formatCode="General"/>
      <fill>
        <patternFill patternType="solid">
          <fgColor indexed="64"/>
          <bgColor theme="5" tint="-0.249977111117893"/>
        </patternFill>
      </fill>
    </dxf>
    <dxf>
      <numFmt numFmtId="0" formatCode="General"/>
      <fill>
        <patternFill patternType="solid">
          <fgColor indexed="64"/>
          <bgColor theme="5" tint="-0.249977111117893"/>
        </patternFill>
      </fill>
      <alignment horizontal="center" vertical="bottom" textRotation="0" wrapText="0" indent="0" justifyLastLine="0" shrinkToFit="0" readingOrder="0"/>
    </dxf>
    <dxf>
      <numFmt numFmtId="0" formatCode="General"/>
      <fill>
        <patternFill patternType="solid">
          <fgColor indexed="64"/>
          <bgColor theme="5" tint="-0.249977111117893"/>
        </patternFill>
      </fill>
      <alignment horizontal="center" vertical="bottom" textRotation="0" wrapText="0" indent="0" justifyLastLine="0" shrinkToFit="0" readingOrder="0"/>
    </dxf>
    <dxf>
      <numFmt numFmtId="0" formatCode="General"/>
    </dxf>
    <dxf>
      <numFmt numFmtId="0" formatCode="General"/>
    </dxf>
    <dxf>
      <numFmt numFmtId="0" formatCode="General"/>
    </dxf>
    <dxf>
      <numFmt numFmtId="0" formatCode="General"/>
    </dxf>
    <dxf>
      <fill>
        <patternFill patternType="none">
          <fgColor indexed="64"/>
          <bgColor auto="1"/>
        </patternFill>
      </fill>
    </dxf>
    <dxf>
      <font>
        <b val="0"/>
        <i val="0"/>
        <strike val="0"/>
        <condense val="0"/>
        <extend val="0"/>
        <outline val="0"/>
        <shadow val="0"/>
        <u val="none"/>
        <vertAlign val="baseline"/>
        <sz val="12"/>
        <color theme="0"/>
        <name val="Calibri"/>
        <scheme val="minor"/>
      </font>
      <fill>
        <patternFill patternType="solid">
          <fgColor theme="9"/>
          <bgColor theme="9"/>
        </patternFill>
      </fill>
    </dxf>
    <dxf>
      <fill>
        <patternFill>
          <fgColor indexed="64"/>
          <bgColor rgb="FFC00000"/>
        </patternFill>
      </fill>
    </dxf>
    <dxf>
      <fill>
        <patternFill>
          <fgColor indexed="64"/>
          <bgColor rgb="FFC00000"/>
        </patternFill>
      </fill>
    </dxf>
    <dxf>
      <font>
        <strike val="0"/>
        <outline val="0"/>
        <shadow val="0"/>
        <u val="none"/>
        <vertAlign val="baseline"/>
        <color theme="0"/>
        <name val="Calibri"/>
        <scheme val="minor"/>
      </font>
      <fill>
        <patternFill patternType="solid">
          <fgColor indexed="64"/>
          <bgColor theme="1" tint="0.34998626667073579"/>
        </patternFill>
      </fill>
    </dxf>
    <dxf>
      <font>
        <strike val="0"/>
        <outline val="0"/>
        <shadow val="0"/>
        <u val="none"/>
        <vertAlign val="baseline"/>
        <color theme="0"/>
        <name val="Calibri"/>
        <scheme val="minor"/>
      </font>
      <fill>
        <patternFill patternType="solid">
          <fgColor indexed="64"/>
          <bgColor theme="1" tint="0.34998626667073579"/>
        </patternFill>
      </fill>
    </dxf>
    <dxf>
      <font>
        <strike val="0"/>
        <outline val="0"/>
        <shadow val="0"/>
        <u val="none"/>
        <vertAlign val="baseline"/>
        <color theme="0"/>
        <name val="Calibri"/>
        <scheme val="minor"/>
      </font>
      <fill>
        <patternFill patternType="solid">
          <fgColor indexed="64"/>
          <bgColor theme="1" tint="0.34998626667073579"/>
        </patternFill>
      </fill>
    </dxf>
    <dxf>
      <font>
        <strike val="0"/>
        <outline val="0"/>
        <shadow val="0"/>
        <u val="none"/>
        <vertAlign val="baseline"/>
        <color theme="0"/>
        <name val="Calibri"/>
        <scheme val="minor"/>
      </font>
      <fill>
        <patternFill patternType="solid">
          <fgColor indexed="64"/>
          <bgColor theme="1" tint="0.34998626667073579"/>
        </patternFill>
      </fill>
    </dxf>
    <dxf>
      <font>
        <strike val="0"/>
        <outline val="0"/>
        <shadow val="0"/>
        <u val="none"/>
        <vertAlign val="baseline"/>
        <color theme="0"/>
        <name val="Calibri"/>
        <scheme val="minor"/>
      </font>
      <fill>
        <patternFill patternType="solid">
          <fgColor indexed="64"/>
          <bgColor theme="1" tint="0.34998626667073579"/>
        </patternFill>
      </fill>
    </dxf>
    <dxf>
      <font>
        <strike val="0"/>
        <outline val="0"/>
        <shadow val="0"/>
        <u val="none"/>
        <vertAlign val="baseline"/>
        <color theme="0"/>
        <name val="Calibri"/>
        <scheme val="minor"/>
      </font>
      <fill>
        <patternFill patternType="solid">
          <fgColor indexed="64"/>
          <bgColor theme="1" tint="0.34998626667073579"/>
        </patternFill>
      </fill>
    </dxf>
    <dxf>
      <font>
        <strike val="0"/>
        <outline val="0"/>
        <shadow val="0"/>
        <u val="none"/>
        <vertAlign val="baseline"/>
        <color theme="0"/>
        <name val="Calibri"/>
        <scheme val="minor"/>
      </font>
      <fill>
        <patternFill patternType="solid">
          <fgColor indexed="64"/>
          <bgColor theme="1" tint="0.34998626667073579"/>
        </patternFill>
      </fill>
    </dxf>
    <dxf>
      <font>
        <strike val="0"/>
        <outline val="0"/>
        <shadow val="0"/>
        <u val="none"/>
        <vertAlign val="baseline"/>
        <color theme="0"/>
        <name val="Calibri"/>
        <scheme val="minor"/>
      </font>
      <fill>
        <patternFill patternType="solid">
          <fgColor indexed="64"/>
          <bgColor theme="1" tint="0.34998626667073579"/>
        </patternFill>
      </fill>
    </dxf>
    <dxf>
      <font>
        <strike val="0"/>
        <outline val="0"/>
        <shadow val="0"/>
        <u val="none"/>
        <vertAlign val="baseline"/>
        <color theme="0"/>
        <name val="Calibri"/>
        <scheme val="minor"/>
      </font>
      <fill>
        <patternFill patternType="solid">
          <fgColor indexed="64"/>
          <bgColor theme="1" tint="0.34998626667073579"/>
        </patternFill>
      </fill>
    </dxf>
    <dxf>
      <font>
        <strike val="0"/>
        <outline val="0"/>
        <shadow val="0"/>
        <u val="none"/>
        <vertAlign val="baseline"/>
        <color theme="0"/>
        <name val="Calibri"/>
        <scheme val="minor"/>
      </font>
      <fill>
        <patternFill patternType="solid">
          <fgColor indexed="64"/>
          <bgColor theme="1" tint="0.34998626667073579"/>
        </patternFill>
      </fill>
    </dxf>
    <dxf>
      <font>
        <strike val="0"/>
        <outline val="0"/>
        <shadow val="0"/>
        <u val="none"/>
        <vertAlign val="baseline"/>
        <color theme="0"/>
        <name val="Calibri"/>
        <scheme val="minor"/>
      </font>
      <fill>
        <patternFill patternType="solid">
          <fgColor indexed="64"/>
          <bgColor theme="1" tint="0.34998626667073579"/>
        </patternFill>
      </fill>
    </dxf>
    <dxf>
      <font>
        <strike val="0"/>
        <outline val="0"/>
        <shadow val="0"/>
        <u val="none"/>
        <vertAlign val="baseline"/>
        <color theme="0"/>
        <name val="Calibri"/>
        <scheme val="minor"/>
      </font>
      <fill>
        <patternFill patternType="solid">
          <fgColor indexed="64"/>
          <bgColor theme="1" tint="0.34998626667073579"/>
        </patternFill>
      </fill>
    </dxf>
    <dxf>
      <font>
        <strike val="0"/>
        <outline val="0"/>
        <shadow val="0"/>
        <u val="none"/>
        <vertAlign val="baseline"/>
        <color theme="0"/>
        <name val="Calibri"/>
        <scheme val="minor"/>
      </font>
      <fill>
        <patternFill patternType="solid">
          <fgColor indexed="64"/>
          <bgColor theme="1" tint="0.34998626667073579"/>
        </patternFill>
      </fill>
    </dxf>
    <dxf>
      <font>
        <strike val="0"/>
        <outline val="0"/>
        <shadow val="0"/>
        <u val="none"/>
        <vertAlign val="baseline"/>
        <color theme="0"/>
        <name val="Calibri"/>
        <scheme val="minor"/>
      </font>
      <fill>
        <patternFill patternType="solid">
          <fgColor indexed="64"/>
          <bgColor theme="1" tint="0.34998626667073579"/>
        </patternFill>
      </fill>
    </dxf>
    <dxf>
      <font>
        <strike val="0"/>
        <outline val="0"/>
        <shadow val="0"/>
        <u val="none"/>
        <vertAlign val="baseline"/>
        <color theme="0"/>
        <name val="Calibri"/>
        <scheme val="minor"/>
      </font>
    </dxf>
    <dxf>
      <font>
        <b val="0"/>
        <i val="0"/>
        <strike val="0"/>
        <condense val="0"/>
        <extend val="0"/>
        <outline val="0"/>
        <shadow val="0"/>
        <u val="none"/>
        <vertAlign val="baseline"/>
        <sz val="12"/>
        <color theme="0"/>
        <name val="Calibri"/>
        <scheme val="minor"/>
      </font>
      <fill>
        <patternFill patternType="none">
          <fgColor indexed="64"/>
          <bgColor auto="1"/>
        </patternFill>
      </fill>
    </dxf>
    <dxf>
      <font>
        <strike val="0"/>
        <outline val="0"/>
        <shadow val="0"/>
        <u val="none"/>
        <vertAlign val="baseline"/>
        <color theme="0"/>
        <name val="Calibri"/>
        <scheme val="minor"/>
      </font>
      <fill>
        <patternFill patternType="none">
          <fgColor indexed="64"/>
          <bgColor auto="1"/>
        </patternFill>
      </fill>
    </dxf>
    <dxf>
      <font>
        <strike val="0"/>
        <outline val="0"/>
        <shadow val="0"/>
        <u val="none"/>
        <vertAlign val="baseline"/>
        <color theme="0"/>
        <name val="Calibri"/>
        <scheme val="minor"/>
      </font>
      <numFmt numFmtId="0" formatCode="General"/>
      <fill>
        <patternFill patternType="none">
          <fgColor indexed="64"/>
          <bgColor auto="1"/>
        </patternFill>
      </fill>
    </dxf>
    <dxf>
      <font>
        <b val="0"/>
        <i val="0"/>
        <strike val="0"/>
        <condense val="0"/>
        <extend val="0"/>
        <outline val="0"/>
        <shadow val="0"/>
        <u val="none"/>
        <vertAlign val="baseline"/>
        <sz val="12"/>
        <color theme="0"/>
        <name val="Calibri"/>
        <scheme val="minor"/>
      </font>
      <fill>
        <patternFill patternType="none">
          <fgColor indexed="64"/>
          <bgColor indexed="65"/>
        </patternFill>
      </fill>
    </dxf>
    <dxf>
      <font>
        <b val="0"/>
        <i val="0"/>
        <strike val="0"/>
        <condense val="0"/>
        <extend val="0"/>
        <outline val="0"/>
        <shadow val="0"/>
        <u val="none"/>
        <vertAlign val="baseline"/>
        <sz val="12"/>
        <color theme="0"/>
        <name val="Calibri"/>
        <scheme val="minor"/>
      </font>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color theme="0"/>
        <name val="Calibri"/>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theme="0"/>
        <name val="Calibri"/>
        <scheme val="minor"/>
      </font>
      <fill>
        <patternFill patternType="none">
          <fgColor indexed="64"/>
          <bgColor auto="1"/>
        </patternFill>
      </fill>
    </dxf>
    <dxf>
      <font>
        <b val="0"/>
        <i val="0"/>
        <strike val="0"/>
        <condense val="0"/>
        <extend val="0"/>
        <outline val="0"/>
        <shadow val="0"/>
        <u val="none"/>
        <vertAlign val="baseline"/>
        <sz val="12"/>
        <color theme="0"/>
        <name val="Calibri"/>
        <scheme val="minor"/>
      </font>
      <fill>
        <patternFill patternType="none">
          <fgColor indexed="64"/>
          <bgColor auto="1"/>
        </patternFill>
      </fill>
    </dxf>
    <dxf>
      <font>
        <b val="0"/>
        <i val="0"/>
        <strike val="0"/>
        <condense val="0"/>
        <extend val="0"/>
        <outline val="0"/>
        <shadow val="0"/>
        <u val="none"/>
        <vertAlign val="baseline"/>
        <sz val="12"/>
        <color theme="0"/>
        <name val="Calibri"/>
        <scheme val="minor"/>
      </font>
      <fill>
        <patternFill patternType="none">
          <fgColor indexed="64"/>
          <bgColor auto="1"/>
        </patternFill>
      </fill>
    </dxf>
    <dxf>
      <font>
        <b val="0"/>
        <i val="0"/>
        <strike val="0"/>
        <condense val="0"/>
        <extend val="0"/>
        <outline val="0"/>
        <shadow val="0"/>
        <u val="none"/>
        <vertAlign val="baseline"/>
        <sz val="12"/>
        <color theme="0"/>
        <name val="Calibri"/>
        <scheme val="minor"/>
      </font>
      <fill>
        <patternFill patternType="none">
          <fgColor indexed="64"/>
          <bgColor auto="1"/>
        </patternFill>
      </fill>
    </dxf>
    <dxf>
      <font>
        <b val="0"/>
        <i val="0"/>
        <strike val="0"/>
        <condense val="0"/>
        <extend val="0"/>
        <outline val="0"/>
        <shadow val="0"/>
        <u val="none"/>
        <vertAlign val="baseline"/>
        <sz val="12"/>
        <color theme="0"/>
        <name val="Calibri"/>
        <scheme val="minor"/>
      </font>
      <fill>
        <patternFill patternType="none">
          <fgColor indexed="64"/>
          <bgColor auto="1"/>
        </patternFill>
      </fill>
    </dxf>
    <dxf>
      <font>
        <b val="0"/>
        <i val="0"/>
        <strike val="0"/>
        <condense val="0"/>
        <extend val="0"/>
        <outline val="0"/>
        <shadow val="0"/>
        <u val="none"/>
        <vertAlign val="baseline"/>
        <sz val="12"/>
        <color theme="0"/>
        <name val="Calibri"/>
        <family val="2"/>
        <scheme val="minor"/>
      </font>
      <fill>
        <patternFill patternType="none">
          <fgColor indexed="64"/>
          <bgColor auto="1"/>
        </patternFill>
      </fill>
    </dxf>
    <dxf>
      <font>
        <b val="0"/>
        <i val="0"/>
        <strike val="0"/>
        <condense val="0"/>
        <extend val="0"/>
        <outline val="0"/>
        <shadow val="0"/>
        <u val="none"/>
        <vertAlign val="baseline"/>
        <sz val="12"/>
        <color theme="0"/>
        <name val="Calibri"/>
        <family val="2"/>
        <scheme val="minor"/>
      </font>
      <fill>
        <patternFill patternType="none">
          <fgColor indexed="64"/>
          <bgColor auto="1"/>
        </patternFill>
      </fill>
    </dxf>
    <dxf>
      <font>
        <b val="0"/>
        <i val="0"/>
        <strike val="0"/>
        <condense val="0"/>
        <extend val="0"/>
        <outline val="0"/>
        <shadow val="0"/>
        <u val="none"/>
        <vertAlign val="baseline"/>
        <sz val="12"/>
        <color theme="0"/>
        <name val="Calibri"/>
        <family val="2"/>
        <scheme val="minor"/>
      </font>
      <fill>
        <patternFill patternType="none">
          <fgColor indexed="64"/>
          <bgColor auto="1"/>
        </patternFill>
      </fill>
    </dxf>
    <dxf>
      <font>
        <b val="0"/>
        <i val="0"/>
        <strike val="0"/>
        <condense val="0"/>
        <extend val="0"/>
        <outline val="0"/>
        <shadow val="0"/>
        <u val="none"/>
        <vertAlign val="baseline"/>
        <sz val="12"/>
        <color theme="0"/>
        <name val="Calibri"/>
        <family val="2"/>
        <scheme val="minor"/>
      </font>
      <fill>
        <patternFill patternType="none">
          <fgColor indexed="64"/>
          <bgColor auto="1"/>
        </patternFill>
      </fill>
    </dxf>
    <dxf>
      <font>
        <b val="0"/>
        <i val="0"/>
        <strike val="0"/>
        <condense val="0"/>
        <extend val="0"/>
        <outline val="0"/>
        <shadow val="0"/>
        <u val="none"/>
        <vertAlign val="baseline"/>
        <sz val="12"/>
        <color theme="0"/>
        <name val="Calibri"/>
        <scheme val="minor"/>
      </font>
      <fill>
        <patternFill patternType="none">
          <fgColor indexed="64"/>
          <bgColor auto="1"/>
        </patternFill>
      </fill>
    </dxf>
    <dxf>
      <font>
        <b val="0"/>
        <i val="0"/>
        <strike val="0"/>
        <condense val="0"/>
        <extend val="0"/>
        <outline val="0"/>
        <shadow val="0"/>
        <u val="none"/>
        <vertAlign val="baseline"/>
        <sz val="12"/>
        <color theme="0"/>
        <name val="Calibri"/>
        <scheme val="minor"/>
      </font>
      <numFmt numFmtId="0" formatCode="General"/>
      <fill>
        <patternFill patternType="none">
          <fgColor indexed="64"/>
          <bgColor auto="1"/>
        </patternFill>
      </fill>
    </dxf>
    <dxf>
      <font>
        <strike val="0"/>
        <outline val="0"/>
        <shadow val="0"/>
        <u val="none"/>
        <vertAlign val="baseline"/>
        <sz val="12"/>
        <color theme="0"/>
        <name val="Calibri"/>
        <family val="2"/>
        <scheme val="minor"/>
      </font>
      <fill>
        <patternFill patternType="none">
          <fgColor indexed="64"/>
          <bgColor auto="1"/>
        </patternFill>
      </fill>
    </dxf>
    <dxf>
      <font>
        <strike val="0"/>
        <outline val="0"/>
        <shadow val="0"/>
        <u val="none"/>
        <vertAlign val="baseline"/>
        <color theme="0"/>
        <name val="Calibri"/>
        <scheme val="minor"/>
      </font>
    </dxf>
    <dxf>
      <font>
        <b/>
        <i val="0"/>
        <strike val="0"/>
        <condense val="0"/>
        <extend val="0"/>
        <outline val="0"/>
        <shadow val="0"/>
        <u/>
        <vertAlign val="baseline"/>
        <sz val="12"/>
        <color theme="1"/>
        <name val="Calibri"/>
        <scheme val="minor"/>
      </font>
      <alignment vertical="top" textRotation="0" wrapText="1" indent="0" justifyLastLine="0" shrinkToFit="0" readingOrder="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left"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left" vertical="bottom" textRotation="0" wrapText="0" indent="0" justifyLastLine="0" shrinkToFit="0" readingOrder="0"/>
    </dxf>
    <dxf>
      <alignment horizontal="center"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protection locked="0" hidden="0"/>
    </dxf>
    <dxf>
      <alignment horizontal="left" vertical="bottom" textRotation="0" wrapText="0" indent="0" justifyLastLine="0" shrinkToFit="0" readingOrder="0"/>
    </dxf>
    <dxf>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protection locked="0" hidden="0"/>
    </dxf>
    <dxf>
      <protection locked="0" hidden="0"/>
    </dxf>
    <dxf>
      <font>
        <b val="0"/>
        <i val="0"/>
        <strike val="0"/>
        <condense val="0"/>
        <extend val="0"/>
        <outline val="0"/>
        <shadow val="0"/>
        <u val="none"/>
        <vertAlign val="baseline"/>
        <sz val="10"/>
        <color auto="1"/>
        <name val="Calibri"/>
        <scheme val="minor"/>
      </font>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auto="1"/>
        <name val="Calibri"/>
        <scheme val="minor"/>
      </font>
      <alignment horizontal="center" textRotation="0" wrapText="0" indent="0" justifyLastLine="0" shrinkToFit="0" readingOrder="0"/>
      <protection locked="0" hidden="0"/>
    </dxf>
    <dxf>
      <font>
        <b val="0"/>
        <i val="0"/>
        <strike val="0"/>
        <condense val="0"/>
        <extend val="0"/>
        <outline val="0"/>
        <shadow val="0"/>
        <u val="none"/>
        <vertAlign val="baseline"/>
        <sz val="10"/>
        <color auto="1"/>
        <name val="Calibri"/>
        <scheme val="minor"/>
      </font>
      <protection locked="0" hidden="0"/>
    </dxf>
    <dxf>
      <font>
        <b val="0"/>
        <i val="0"/>
        <strike val="0"/>
        <condense val="0"/>
        <extend val="0"/>
        <outline val="0"/>
        <shadow val="0"/>
        <u val="none"/>
        <vertAlign val="baseline"/>
        <sz val="10"/>
        <color auto="1"/>
        <name val="Calibri"/>
        <scheme val="minor"/>
      </font>
      <protection locked="0" hidden="0"/>
    </dxf>
    <dxf>
      <protection locked="0" hidden="0"/>
    </dxf>
    <dxf>
      <font>
        <b val="0"/>
        <i val="0"/>
        <strike val="0"/>
        <condense val="0"/>
        <extend val="0"/>
        <outline val="0"/>
        <shadow val="0"/>
        <u val="none"/>
        <vertAlign val="baseline"/>
        <sz val="10"/>
        <color auto="1"/>
        <name val="Calibri"/>
        <scheme val="minor"/>
      </font>
      <protection locked="0" hidden="0"/>
    </dxf>
    <dxf>
      <font>
        <b val="0"/>
        <i val="0"/>
        <strike val="0"/>
        <condense val="0"/>
        <extend val="0"/>
        <outline val="0"/>
        <shadow val="0"/>
        <u val="none"/>
        <vertAlign val="baseline"/>
        <sz val="12"/>
        <color auto="1"/>
        <name val="Calibri"/>
        <scheme val="minor"/>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0" tint="-0.249977111117893"/>
        <name val="Calibri"/>
        <scheme val="minor"/>
      </font>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fill>
        <patternFill patternType="solid">
          <fgColor indexed="64"/>
          <bgColor rgb="FFFFFF00"/>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protection locked="1" hidden="0"/>
    </dxf>
    <dxf>
      <font>
        <sz val="10"/>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protection locked="1" hidden="0"/>
    </dxf>
    <dxf>
      <protection locked="0" hidden="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auto="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auto="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auto="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auto="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auto="1"/>
        <name val="Calibri"/>
        <scheme val="minor"/>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12"/>
        <color theme="0" tint="-0.249977111117893"/>
        <name val="Calibri"/>
        <scheme val="minor"/>
      </font>
      <alignment horizontal="general" vertical="center" textRotation="0" wrapText="0" indent="0" justifyLastLine="0" shrinkToFit="0" readingOrder="0"/>
      <protection locked="0" hidden="0"/>
    </dxf>
  </dxfs>
  <tableStyles count="0" defaultTableStyle="TableStyleMedium2" defaultPivotStyle="PivotStyleLight16"/>
  <colors>
    <mruColors>
      <color rgb="FFFF0000"/>
      <color rgb="FFFF00FF"/>
      <color rgb="FF71095D"/>
      <color rgb="FFF0F0F0"/>
      <color rgb="FF383838"/>
      <color rgb="FFB4D9FA"/>
      <color rgb="FFDBEDFD"/>
      <color rgb="FFD5E9FC"/>
      <color rgb="FFDCAEFF"/>
      <color rgb="FFFFFF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Drop" dropLines="3" dropStyle="combo" dx="26" fmlaLink="CAM_IndexScanner" fmlaRange="Vars!$S$177:$S$179" noThreeD="1" sel="1" val="0"/>
</file>

<file path=xl/ctrlProps/ctrlProp101.xml><?xml version="1.0" encoding="utf-8"?>
<formControlPr xmlns="http://schemas.microsoft.com/office/spreadsheetml/2009/9/main" objectType="CheckBox" checked="Checked" fmlaLink="CAM_PosiOrBlueBG_Checkbox" lockText="1" noThreeD="1"/>
</file>

<file path=xl/ctrlProps/ctrlProp102.xml><?xml version="1.0" encoding="utf-8"?>
<formControlPr xmlns="http://schemas.microsoft.com/office/spreadsheetml/2009/9/main" objectType="Drop" dropStyle="combo" dx="26" fmlaLink="CAM_IndexSoftware" fmlaRange="CAM_SoftwareFullNames" sel="2" val="0"/>
</file>

<file path=xl/ctrlProps/ctrlProp103.xml><?xml version="1.0" encoding="utf-8"?>
<formControlPr xmlns="http://schemas.microsoft.com/office/spreadsheetml/2009/9/main" objectType="Drop" dropLines="21" dropStyle="combo" dx="26" fmlaLink="CAM_N_SoftwareOrUpg" fmlaRange="Vars!$C$177:$C$197" noThreeD="1" sel="1" val="0"/>
</file>

<file path=xl/ctrlProps/ctrlProp104.xml><?xml version="1.0" encoding="utf-8"?>
<formControlPr xmlns="http://schemas.microsoft.com/office/spreadsheetml/2009/9/main" objectType="Drop" dropStyle="combo" dx="26" fmlaLink="CAM_IndexClientVersion" fmlaRange="Vars!$I$56:$I$58" sel="2" val="0"/>
</file>

<file path=xl/ctrlProps/ctrlProp105.xml><?xml version="1.0" encoding="utf-8"?>
<formControlPr xmlns="http://schemas.microsoft.com/office/spreadsheetml/2009/9/main" objectType="CheckBox" fmlaLink="CAM_ChkBox_UpgradeUpdate" lockText="1" noThreeD="1"/>
</file>

<file path=xl/ctrlProps/ctrlProp106.xml><?xml version="1.0" encoding="utf-8"?>
<formControlPr xmlns="http://schemas.microsoft.com/office/spreadsheetml/2009/9/main" objectType="Drop" dropLines="21" dropStyle="combo" dx="26" fmlaLink="DENDRO_N_System" fmlaRange="Vars!$C$177:$C$197" noThreeD="1" sel="1" val="0"/>
</file>

<file path=xl/ctrlProps/ctrlProp107.xml><?xml version="1.0" encoding="utf-8"?>
<formControlPr xmlns="http://schemas.microsoft.com/office/spreadsheetml/2009/9/main" objectType="Drop" dropStyle="combo" dx="26" fmlaLink="DENDRO_IndexClientVersion" fmlaRange="Vars!$C$56:$C$58" sel="2" val="0"/>
</file>

<file path=xl/ctrlProps/ctrlProp108.xml><?xml version="1.0" encoding="utf-8"?>
<formControlPr xmlns="http://schemas.microsoft.com/office/spreadsheetml/2009/9/main" objectType="CheckBox" checked="Checked" fmlaLink="Checkbox_Instructions" lockText="1" noThreeD="1"/>
</file>

<file path=xl/ctrlProps/ctrlProp109.xml><?xml version="1.0" encoding="utf-8"?>
<formControlPr xmlns="http://schemas.microsoft.com/office/spreadsheetml/2009/9/main" objectType="Drop" dropLines="11" dropStyle="combo" dx="26" fmlaLink="DENDRO_OptionTPU" fmlaRange="Vars!$C$177:$C$187" noThreeD="1" sel="1" val="0"/>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Drop" dropLines="11" dropStyle="combo" dx="26" fmlaLink="DENDRO_Option1" fmlaRange="Vars!$C$177:$C$187" noThreeD="1" sel="1" val="0"/>
</file>

<file path=xl/ctrlProps/ctrlProp111.xml><?xml version="1.0" encoding="utf-8"?>
<formControlPr xmlns="http://schemas.microsoft.com/office/spreadsheetml/2009/9/main" objectType="Drop" dropLines="11" dropStyle="combo" dx="26" fmlaLink="DENDRO_Option2" fmlaRange="Vars!$C$177:$C$187" noThreeD="1" sel="1" val="0"/>
</file>

<file path=xl/ctrlProps/ctrlProp112.xml><?xml version="1.0" encoding="utf-8"?>
<formControlPr xmlns="http://schemas.microsoft.com/office/spreadsheetml/2009/9/main" objectType="Drop" dropLines="11" dropStyle="combo" dx="26" fmlaLink="DENDRO_Option3" fmlaRange="Vars!$C$177:$C$187" noThreeD="1" sel="1" val="0"/>
</file>

<file path=xl/ctrlProps/ctrlProp113.xml><?xml version="1.0" encoding="utf-8"?>
<formControlPr xmlns="http://schemas.microsoft.com/office/spreadsheetml/2009/9/main" objectType="Drop" dropLines="11" dropStyle="combo" dx="26" fmlaLink="DENDRO_Option4" fmlaRange="Vars!$C$177:$C$187" noThreeD="1" sel="1" val="0"/>
</file>

<file path=xl/ctrlProps/ctrlProp114.xml><?xml version="1.0" encoding="utf-8"?>
<formControlPr xmlns="http://schemas.microsoft.com/office/spreadsheetml/2009/9/main" objectType="Drop" dropLines="11" dropStyle="combo" dx="26" fmlaLink="DENDRO_Option5" fmlaRange="Vars!$C$177:$C$187" noThreeD="1" sel="1" val="0"/>
</file>

<file path=xl/ctrlProps/ctrlProp115.xml><?xml version="1.0" encoding="utf-8"?>
<formControlPr xmlns="http://schemas.microsoft.com/office/spreadsheetml/2009/9/main" objectType="Drop" dropLines="11" dropStyle="combo" dx="26" fmlaLink="DENDRO_N_AlreadyHaveSoftware" fmlaRange="Vars!$C$177:$C$186" noThreeD="1" sel="1" val="0"/>
</file>

<file path=xl/ctrlProps/ctrlProp116.xml><?xml version="1.0" encoding="utf-8"?>
<formControlPr xmlns="http://schemas.microsoft.com/office/spreadsheetml/2009/9/main" objectType="Drop" dropStyle="combo" dx="26" fmlaLink="DENDRO_IndexSoftware" fmlaRange="DENDRO_SoftwareFullNames" sel="2" val="0"/>
</file>

<file path=xl/ctrlProps/ctrlProp117.xml><?xml version="1.0" encoding="utf-8"?>
<formControlPr xmlns="http://schemas.microsoft.com/office/spreadsheetml/2009/9/main" objectType="CheckBox" fmlaLink="DENDRO_ClientWithOrWithoutScanner_ChkBox" lockText="1" noThreeD="1"/>
</file>

<file path=xl/ctrlProps/ctrlProp118.xml><?xml version="1.0" encoding="utf-8"?>
<formControlPr xmlns="http://schemas.microsoft.com/office/spreadsheetml/2009/9/main" objectType="Drop" dropLines="3" dropStyle="combo" dx="26" fmlaLink="DENDRO_IndexScanner" fmlaRange="Vars!$S$177:$S$178" noThreeD="1" sel="1" val="0"/>
</file>

<file path=xl/ctrlProps/ctrlProp119.xml><?xml version="1.0" encoding="utf-8"?>
<formControlPr xmlns="http://schemas.microsoft.com/office/spreadsheetml/2009/9/main" objectType="CheckBox" fmlaLink="DENDRO_ChkBox_UpgradeUpdate" lockText="1" noThreeD="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Drop" dropLines="21" dropStyle="combo" dx="26" fmlaLink="DENDRO_N_SoftwareOrUpg" fmlaRange="Vars!$C$177:$C$197" noThreeD="1" sel="1" val="0"/>
</file>

<file path=xl/ctrlProps/ctrlProp121.xml><?xml version="1.0" encoding="utf-8"?>
<formControlPr xmlns="http://schemas.microsoft.com/office/spreadsheetml/2009/9/main" objectType="CheckBox" checked="Checked" fmlaLink="Checkbox_Instructions" lockText="1" noThreeD="1"/>
</file>

<file path=xl/ctrlProps/ctrlProp122.xml><?xml version="1.0" encoding="utf-8"?>
<formControlPr xmlns="http://schemas.microsoft.com/office/spreadsheetml/2009/9/main" objectType="Drop" dropStyle="combo" dx="26" fmlaLink="CELL_IndexSoftware" fmlaRange="CELL_SoftwareFullNames" sel="2" val="0"/>
</file>

<file path=xl/ctrlProps/ctrlProp123.xml><?xml version="1.0" encoding="utf-8"?>
<formControlPr xmlns="http://schemas.microsoft.com/office/spreadsheetml/2009/9/main" objectType="Drop" dropLines="11" dropStyle="combo" dx="26" fmlaLink="CELL_N_AlreadyHaveSoftware" fmlaRange="Vars!$C$177:$C$186" noThreeD="1" sel="1" val="0"/>
</file>

<file path=xl/ctrlProps/ctrlProp124.xml><?xml version="1.0" encoding="utf-8"?>
<formControlPr xmlns="http://schemas.microsoft.com/office/spreadsheetml/2009/9/main" objectType="Drop" dropLines="21" dropStyle="combo" dx="26" fmlaLink="CELL_N_SoftwareOrUpg" fmlaRange="Vars!$C$177:$C$197" noThreeD="1" sel="1" val="0"/>
</file>

<file path=xl/ctrlProps/ctrlProp125.xml><?xml version="1.0" encoding="utf-8"?>
<formControlPr xmlns="http://schemas.microsoft.com/office/spreadsheetml/2009/9/main" objectType="Drop" dropStyle="combo" dx="26" fmlaLink="CELL_IndexClientVersion" fmlaRange="Vars!$D$56:$D$58" sel="2" val="0"/>
</file>

<file path=xl/ctrlProps/ctrlProp126.xml><?xml version="1.0" encoding="utf-8"?>
<formControlPr xmlns="http://schemas.microsoft.com/office/spreadsheetml/2009/9/main" objectType="CheckBox" fmlaLink="CELL_ChkBox_UpgradeUpdate" lockText="1" noThreeD="1"/>
</file>

<file path=xl/ctrlProps/ctrlProp127.xml><?xml version="1.0" encoding="utf-8"?>
<formControlPr xmlns="http://schemas.microsoft.com/office/spreadsheetml/2009/9/main" objectType="CheckBox" checked="Checked" fmlaLink="Checkbox_Instructions" lockText="1" noThreeD="1"/>
</file>

<file path=xl/ctrlProps/ctrlProp128.xml><?xml version="1.0" encoding="utf-8"?>
<formControlPr xmlns="http://schemas.microsoft.com/office/spreadsheetml/2009/9/main" objectType="Drop" dropStyle="combo" dx="26" fmlaLink="SCANOPY_IndexSoftware" fmlaRange="SCANOPY_SoftwareFullNames" sel="2" val="0"/>
</file>

<file path=xl/ctrlProps/ctrlProp129.xml><?xml version="1.0" encoding="utf-8"?>
<formControlPr xmlns="http://schemas.microsoft.com/office/spreadsheetml/2009/9/main" objectType="Drop" dropLines="21" dropStyle="combo" dx="26" fmlaLink="SCANOPY_N_System" fmlaRange="Vars!$C$177:$C$197" noThreeD="1" sel="1" val="0"/>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Drop" dropLines="11" dropStyle="combo" dx="26" fmlaLink="SCANOPY_N_AlreadyHaveSoftware" fmlaRange="Vars!$C$177:$C$186" noThreeD="1" sel="1" val="0"/>
</file>

<file path=xl/ctrlProps/ctrlProp131.xml><?xml version="1.0" encoding="utf-8"?>
<formControlPr xmlns="http://schemas.microsoft.com/office/spreadsheetml/2009/9/main" objectType="Drop" dropLines="3" dropStyle="combo" dx="26" fmlaLink="SCANOPY_IndexScanner" fmlaRange="Vars!$T$177:$T$178" noThreeD="1" sel="1" val="0"/>
</file>

<file path=xl/ctrlProps/ctrlProp132.xml><?xml version="1.0" encoding="utf-8"?>
<formControlPr xmlns="http://schemas.microsoft.com/office/spreadsheetml/2009/9/main" objectType="Drop" dropLines="21" dropStyle="combo" dx="26" fmlaLink="SCANOPY_N_SoftwareOrUpg" fmlaRange="Vars!$C$177:$C$197" noThreeD="1" sel="1" val="0"/>
</file>

<file path=xl/ctrlProps/ctrlProp133.xml><?xml version="1.0" encoding="utf-8"?>
<formControlPr xmlns="http://schemas.microsoft.com/office/spreadsheetml/2009/9/main" objectType="Drop" dropStyle="combo" dx="26" fmlaLink="SCANOPY_IndexClientVersion" fmlaRange="Vars!$J$56:$J$58" sel="2" val="0"/>
</file>

<file path=xl/ctrlProps/ctrlProp134.xml><?xml version="1.0" encoding="utf-8"?>
<formControlPr xmlns="http://schemas.microsoft.com/office/spreadsheetml/2009/9/main" objectType="CheckBox" fmlaLink="SCANOPY_ChkBox_UpgradeUpdate" lockText="1" noThreeD="1"/>
</file>

<file path=xl/ctrlProps/ctrlProp135.xml><?xml version="1.0" encoding="utf-8"?>
<formControlPr xmlns="http://schemas.microsoft.com/office/spreadsheetml/2009/9/main" objectType="CheckBox" checked="Checked" fmlaLink="Francais" lockText="1" noThreeD="1"/>
</file>

<file path=xl/ctrlProps/ctrlProp136.xml><?xml version="1.0" encoding="utf-8"?>
<formControlPr xmlns="http://schemas.microsoft.com/office/spreadsheetml/2009/9/main" objectType="CheckBox" fmlaLink="Distributeurs_Rabais" lockText="1" noThreeD="1"/>
</file>

<file path=xl/ctrlProps/ctrlProp137.xml><?xml version="1.0" encoding="utf-8"?>
<formControlPr xmlns="http://schemas.microsoft.com/office/spreadsheetml/2009/9/main" objectType="CheckBox" fmlaLink="QUOTE_Split_SoftwareHardware" lockText="1"/>
</file>

<file path=xl/ctrlProps/ctrlProp138.xml><?xml version="1.0" encoding="utf-8"?>
<formControlPr xmlns="http://schemas.microsoft.com/office/spreadsheetml/2009/9/main" objectType="CheckBox" fmlaLink="QUOTE_InternetDownload" lockText="1"/>
</file>

<file path=xl/ctrlProps/ctrlProp139.xml><?xml version="1.0" encoding="utf-8"?>
<formControlPr xmlns="http://schemas.microsoft.com/office/spreadsheetml/2009/9/main" objectType="CheckBox" fmlaLink="QUOTE_Split_SoftwareHardware"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CheckBox" checked="Checked" fmlaLink="ShowStaticListPrice" lockText="1" noThreeD="1"/>
</file>

<file path=xl/ctrlProps/ctrlProp15.xml><?xml version="1.0" encoding="utf-8"?>
<formControlPr xmlns="http://schemas.microsoft.com/office/spreadsheetml/2009/9/main" objectType="CheckBox" fmlaLink="Checkbox_Tariffs2"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CheckBox" fmlaLink="Checkbox_EtiqShip1" lockText="1" noThreeD="1"/>
</file>

<file path=xl/ctrlProps/ctrlProp18.xml><?xml version="1.0" encoding="utf-8"?>
<formControlPr xmlns="http://schemas.microsoft.com/office/spreadsheetml/2009/9/main" objectType="CheckBox" fmlaLink="Checkbox_EtiqShip2" lockText="1" noThreeD="1"/>
</file>

<file path=xl/ctrlProps/ctrlProp19.xml><?xml version="1.0" encoding="utf-8"?>
<formControlPr xmlns="http://schemas.microsoft.com/office/spreadsheetml/2009/9/main" objectType="CheckBox" fmlaLink="Checkbox_EtiqShip3" lockText="1" noThreeD="1"/>
</file>

<file path=xl/ctrlProps/ctrlProp2.xml><?xml version="1.0" encoding="utf-8"?>
<formControlPr xmlns="http://schemas.microsoft.com/office/spreadsheetml/2009/9/main" objectType="CheckBox" fmlaLink="QUOTE_Split_SoftwareHardware" lockText="1"/>
</file>

<file path=xl/ctrlProps/ctrlProp20.xml><?xml version="1.0" encoding="utf-8"?>
<formControlPr xmlns="http://schemas.microsoft.com/office/spreadsheetml/2009/9/main" objectType="CheckBox" fmlaLink="Checkbox_EtiqShip4" lockText="1" noThreeD="1"/>
</file>

<file path=xl/ctrlProps/ctrlProp21.xml><?xml version="1.0" encoding="utf-8"?>
<formControlPr xmlns="http://schemas.microsoft.com/office/spreadsheetml/2009/9/main" objectType="CheckBox" fmlaLink="Checkbox_EtiqShip5" lockText="1" noThreeD="1"/>
</file>

<file path=xl/ctrlProps/ctrlProp22.xml><?xml version="1.0" encoding="utf-8"?>
<formControlPr xmlns="http://schemas.microsoft.com/office/spreadsheetml/2009/9/main" objectType="CheckBox" fmlaLink="Checkbox_EtiqShip6" lockText="1" noThreeD="1"/>
</file>

<file path=xl/ctrlProps/ctrlProp23.xml><?xml version="1.0" encoding="utf-8"?>
<formControlPr xmlns="http://schemas.microsoft.com/office/spreadsheetml/2009/9/main" objectType="Radio" firstButton="1" lockText="1" noThreeD="1"/>
</file>

<file path=xl/ctrlProps/ctrlProp24.xml><?xml version="1.0" encoding="utf-8"?>
<formControlPr xmlns="http://schemas.microsoft.com/office/spreadsheetml/2009/9/main" objectType="Radio" checked="Checked" lockText="1" noThreeD="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GBox" noThreeD="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fmlaLink="QUOTE_InternetDownload" lockText="1"/>
</file>

<file path=xl/ctrlProps/ctrlProp30.xml><?xml version="1.0" encoding="utf-8"?>
<formControlPr xmlns="http://schemas.microsoft.com/office/spreadsheetml/2009/9/main" objectType="Drop" dropLines="21" dropStyle="combo" dx="26" fmlaLink="RHIZO_N_System" fmlaRange="Vars!$C$177:$C$197" noThreeD="1" sel="1" val="0"/>
</file>

<file path=xl/ctrlProps/ctrlProp31.xml><?xml version="1.0" encoding="utf-8"?>
<formControlPr xmlns="http://schemas.microsoft.com/office/spreadsheetml/2009/9/main" objectType="CheckBox" checked="Checked" fmlaLink="Checkbox_Instructions" lockText="1" noThreeD="1"/>
</file>

<file path=xl/ctrlProps/ctrlProp32.xml><?xml version="1.0" encoding="utf-8"?>
<formControlPr xmlns="http://schemas.microsoft.com/office/spreadsheetml/2009/9/main" objectType="Drop" dropStyle="combo" dx="26" fmlaLink="RHIZO_IndexSoftware" fmlaRange="RHIZO_SoftwareFullNames" sel="2" val="0"/>
</file>

<file path=xl/ctrlProps/ctrlProp33.xml><?xml version="1.0" encoding="utf-8"?>
<formControlPr xmlns="http://schemas.microsoft.com/office/spreadsheetml/2009/9/main" objectType="CheckBox" checked="Checked" fmlaLink="RHIZO_ClientWithOrWithoutScanner_ChkBox" lockText="1" noThreeD="1"/>
</file>

<file path=xl/ctrlProps/ctrlProp34.xml><?xml version="1.0" encoding="utf-8"?>
<formControlPr xmlns="http://schemas.microsoft.com/office/spreadsheetml/2009/9/main" objectType="Drop" dropLines="3" dropStyle="combo" dx="26" fmlaLink="RHIZO_IndexScanner" fmlaRange="Vars!$S$177:$S$178" noThreeD="1" sel="1" val="0"/>
</file>

<file path=xl/ctrlProps/ctrlProp35.xml><?xml version="1.0" encoding="utf-8"?>
<formControlPr xmlns="http://schemas.microsoft.com/office/spreadsheetml/2009/9/main" objectType="CheckBox" checked="Checked" fmlaLink="RHIZO_PosiOrBlueBG_Checkbox" lockText="1" noThreeD="1"/>
</file>

<file path=xl/ctrlProps/ctrlProp36.xml><?xml version="1.0" encoding="utf-8"?>
<formControlPr xmlns="http://schemas.microsoft.com/office/spreadsheetml/2009/9/main" objectType="Drop" dropLines="11" dropStyle="combo" dx="26" fmlaLink="RHIZO_Option2" fmlaRange="Vars!$C$177:$C$179" noThreeD="1" sel="1" val="0"/>
</file>

<file path=xl/ctrlProps/ctrlProp37.xml><?xml version="1.0" encoding="utf-8"?>
<formControlPr xmlns="http://schemas.microsoft.com/office/spreadsheetml/2009/9/main" objectType="Drop" dropLines="11" dropStyle="combo" dx="26" fmlaLink="RHIZO_Option1" fmlaRange="Vars!$C$177:$C$179" noThreeD="1" sel="1" val="0"/>
</file>

<file path=xl/ctrlProps/ctrlProp38.xml><?xml version="1.0" encoding="utf-8"?>
<formControlPr xmlns="http://schemas.microsoft.com/office/spreadsheetml/2009/9/main" objectType="Drop" dropStyle="combo" dx="26" fmlaLink="RHIZO_Option3" fmlaRange="Tray1To3" noThreeD="1" sel="1" val="0"/>
</file>

<file path=xl/ctrlProps/ctrlProp39.xml><?xml version="1.0" encoding="utf-8"?>
<formControlPr xmlns="http://schemas.microsoft.com/office/spreadsheetml/2009/9/main" objectType="Drop" dropLines="11" dropStyle="combo" dx="26" fmlaLink="RHIZO_Option6" fmlaRange="Vars!$C$177:$C$179" noThreeD="1" sel="1" val="0"/>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Drop" dropLines="11" dropStyle="combo" dx="26" fmlaLink="RHIZO_Option7" fmlaRange="Vars!$C$177:$C$179" noThreeD="1" sel="1" val="0"/>
</file>

<file path=xl/ctrlProps/ctrlProp41.xml><?xml version="1.0" encoding="utf-8"?>
<formControlPr xmlns="http://schemas.microsoft.com/office/spreadsheetml/2009/9/main" objectType="Drop" dropLines="11" dropStyle="combo" dx="26" fmlaLink="RHIZO_Option8" fmlaRange="Vars!$B$177:$B$179" noThreeD="1" sel="1" val="0"/>
</file>

<file path=xl/ctrlProps/ctrlProp42.xml><?xml version="1.0" encoding="utf-8"?>
<formControlPr xmlns="http://schemas.microsoft.com/office/spreadsheetml/2009/9/main" objectType="Drop" dropStyle="combo" dx="26" fmlaLink="RHIZO_Option4" fmlaRange="Tray1To3" noThreeD="1" sel="1" val="0"/>
</file>

<file path=xl/ctrlProps/ctrlProp43.xml><?xml version="1.0" encoding="utf-8"?>
<formControlPr xmlns="http://schemas.microsoft.com/office/spreadsheetml/2009/9/main" objectType="Drop" dropStyle="combo" dx="26" fmlaLink="RHIZO_Option5" fmlaRange="Tray1To3" noThreeD="1" sel="1" val="0"/>
</file>

<file path=xl/ctrlProps/ctrlProp44.xml><?xml version="1.0" encoding="utf-8"?>
<formControlPr xmlns="http://schemas.microsoft.com/office/spreadsheetml/2009/9/main" objectType="Drop" dropStyle="combo" dx="26" fmlaLink="RHIZO_Option9" fmlaRange="Tray1To3" noThreeD="1" sel="1" val="0"/>
</file>

<file path=xl/ctrlProps/ctrlProp45.xml><?xml version="1.0" encoding="utf-8"?>
<formControlPr xmlns="http://schemas.microsoft.com/office/spreadsheetml/2009/9/main" objectType="Drop" dropStyle="combo" dx="26" fmlaLink="RHIZO_Option10" fmlaRange="Tray1To3" noThreeD="1" sel="1" val="0"/>
</file>

<file path=xl/ctrlProps/ctrlProp46.xml><?xml version="1.0" encoding="utf-8"?>
<formControlPr xmlns="http://schemas.microsoft.com/office/spreadsheetml/2009/9/main" objectType="Drop" dropStyle="combo" dx="26" fmlaLink="RHIZO_Option11" fmlaRange="Tray1To3" noThreeD="1" sel="1" val="0"/>
</file>

<file path=xl/ctrlProps/ctrlProp47.xml><?xml version="1.0" encoding="utf-8"?>
<formControlPr xmlns="http://schemas.microsoft.com/office/spreadsheetml/2009/9/main" objectType="Drop" dropLines="21" dropStyle="combo" dx="26" fmlaLink="RHIZO_N_SoftwareOrUpg" fmlaRange="Vars!$C$177:$C$197" noThreeD="1" sel="1" val="0"/>
</file>

<file path=xl/ctrlProps/ctrlProp48.xml><?xml version="1.0" encoding="utf-8"?>
<formControlPr xmlns="http://schemas.microsoft.com/office/spreadsheetml/2009/9/main" objectType="Drop" dropLines="11" dropStyle="combo" dx="26" fmlaLink="RHIZO_N_AlreadyHaveSoftware" fmlaRange="Vars!$C$177:$C$186" noThreeD="1" sel="1" val="0"/>
</file>

<file path=xl/ctrlProps/ctrlProp49.xml><?xml version="1.0" encoding="utf-8"?>
<formControlPr xmlns="http://schemas.microsoft.com/office/spreadsheetml/2009/9/main" objectType="Drop" dropStyle="combo" dx="26" fmlaLink="RHIZO_IndexClientVersion" fmlaRange="Vars!$E$56:$E$59" sel="2" val="0"/>
</file>

<file path=xl/ctrlProps/ctrlProp5.xml><?xml version="1.0" encoding="utf-8"?>
<formControlPr xmlns="http://schemas.microsoft.com/office/spreadsheetml/2009/9/main" objectType="CheckBox" fmlaLink="QUOTE_Split_SoftwareHardware" lockText="1"/>
</file>

<file path=xl/ctrlProps/ctrlProp50.xml><?xml version="1.0" encoding="utf-8"?>
<formControlPr xmlns="http://schemas.microsoft.com/office/spreadsheetml/2009/9/main" objectType="CheckBox" fmlaLink="RHIZO_ChkBox_UpgradeUpdate" lockText="1" noThreeD="1"/>
</file>

<file path=xl/ctrlProps/ctrlProp51.xml><?xml version="1.0" encoding="utf-8"?>
<formControlPr xmlns="http://schemas.microsoft.com/office/spreadsheetml/2009/9/main" objectType="CheckBox" checked="Checked" fmlaLink="Checkbox_Instructions" lockText="1" noThreeD="1"/>
</file>

<file path=xl/ctrlProps/ctrlProp52.xml><?xml version="1.0" encoding="utf-8"?>
<formControlPr xmlns="http://schemas.microsoft.com/office/spreadsheetml/2009/9/main" objectType="Drop" dropStyle="combo" dx="26" fmlaLink="RHIZOTRON_IndexSoftware" fmlaRange="RHIZOTRON_SoftwareFullNames" sel="2" val="0"/>
</file>

<file path=xl/ctrlProps/ctrlProp53.xml><?xml version="1.0" encoding="utf-8"?>
<formControlPr xmlns="http://schemas.microsoft.com/office/spreadsheetml/2009/9/main" objectType="Drop" dropLines="21" dropStyle="combo" dx="26" fmlaLink="RHIZOTRON_N_SoftwareOrUpg" fmlaRange="Vars!$C$177:$C$197" noThreeD="1" sel="1" val="0"/>
</file>

<file path=xl/ctrlProps/ctrlProp54.xml><?xml version="1.0" encoding="utf-8"?>
<formControlPr xmlns="http://schemas.microsoft.com/office/spreadsheetml/2009/9/main" objectType="Drop" dropLines="11" dropStyle="combo" dx="26" fmlaLink="RHIZOTRON_N_AlreadyHaveSoftware" fmlaRange="Vars!$C$177:$C$186" noThreeD="1" sel="1" val="0"/>
</file>

<file path=xl/ctrlProps/ctrlProp55.xml><?xml version="1.0" encoding="utf-8"?>
<formControlPr xmlns="http://schemas.microsoft.com/office/spreadsheetml/2009/9/main" objectType="Drop" dropStyle="combo" dx="26" fmlaLink="RHIZOTRON_IndexClientVersion" fmlaRange="Vars!$F$56:$F$58" sel="1" val="0"/>
</file>

<file path=xl/ctrlProps/ctrlProp56.xml><?xml version="1.0" encoding="utf-8"?>
<formControlPr xmlns="http://schemas.microsoft.com/office/spreadsheetml/2009/9/main" objectType="CheckBox" fmlaLink="RHIZOTRON_ChkBox_UpgradeUpdate" lockText="1" noThreeD="1"/>
</file>

<file path=xl/ctrlProps/ctrlProp57.xml><?xml version="1.0" encoding="utf-8"?>
<formControlPr xmlns="http://schemas.microsoft.com/office/spreadsheetml/2009/9/main" objectType="CheckBox" checked="Checked" fmlaLink="Checkbox_Instructions" lockText="1" noThreeD="1"/>
</file>

<file path=xl/ctrlProps/ctrlProp58.xml><?xml version="1.0" encoding="utf-8"?>
<formControlPr xmlns="http://schemas.microsoft.com/office/spreadsheetml/2009/9/main" objectType="Drop" dropLines="21" dropStyle="combo" dx="26" fmlaLink="SEEDLE_N_System" fmlaRange="Vars!$C$177:$C$197" noThreeD="1" sel="1" val="0"/>
</file>

<file path=xl/ctrlProps/ctrlProp59.xml><?xml version="1.0" encoding="utf-8"?>
<formControlPr xmlns="http://schemas.microsoft.com/office/spreadsheetml/2009/9/main" objectType="Drop" dropStyle="combo" dx="26" fmlaLink="SEEDLE_IndexSoftware" fmlaRange="SEEDLE_SoftwareFullNames" sel="2" val="0"/>
</file>

<file path=xl/ctrlProps/ctrlProp6.xml><?xml version="1.0" encoding="utf-8"?>
<formControlPr xmlns="http://schemas.microsoft.com/office/spreadsheetml/2009/9/main" objectType="CheckBox" fmlaLink="QUOTE_InternetDownload" lockText="1"/>
</file>

<file path=xl/ctrlProps/ctrlProp60.xml><?xml version="1.0" encoding="utf-8"?>
<formControlPr xmlns="http://schemas.microsoft.com/office/spreadsheetml/2009/9/main" objectType="Drop" dropLines="11" dropStyle="combo" dx="26" fmlaLink="SEEDLE_N_AlreadyHaveSoftware" fmlaRange="Vars!$C$177:$C$186" noThreeD="1" sel="1" val="0"/>
</file>

<file path=xl/ctrlProps/ctrlProp61.xml><?xml version="1.0" encoding="utf-8"?>
<formControlPr xmlns="http://schemas.microsoft.com/office/spreadsheetml/2009/9/main" objectType="CheckBox" checked="Checked" fmlaLink="SEEDLE_ClientWithOrWithoutScanner_ChkBox" lockText="1" noThreeD="1"/>
</file>

<file path=xl/ctrlProps/ctrlProp62.xml><?xml version="1.0" encoding="utf-8"?>
<formControlPr xmlns="http://schemas.microsoft.com/office/spreadsheetml/2009/9/main" objectType="Drop" dropLines="3" dropStyle="combo" dx="26" fmlaLink="SEEDLE_IndexScanner" fmlaRange="Vars!$S$177:$S$178" noThreeD="1" sel="1" val="0"/>
</file>

<file path=xl/ctrlProps/ctrlProp63.xml><?xml version="1.0" encoding="utf-8"?>
<formControlPr xmlns="http://schemas.microsoft.com/office/spreadsheetml/2009/9/main" objectType="CheckBox" checked="Checked" fmlaLink="SEEDLE_PosiOrBlueBG_Checkbox" lockText="1" noThreeD="1"/>
</file>

<file path=xl/ctrlProps/ctrlProp64.xml><?xml version="1.0" encoding="utf-8"?>
<formControlPr xmlns="http://schemas.microsoft.com/office/spreadsheetml/2009/9/main" objectType="Drop" dropLines="11" dropStyle="combo" dx="26" fmlaLink="SEEDLE_Option2" fmlaRange="Vars!$C$177:$C$179" noThreeD="1" sel="1" val="0"/>
</file>

<file path=xl/ctrlProps/ctrlProp65.xml><?xml version="1.0" encoding="utf-8"?>
<formControlPr xmlns="http://schemas.microsoft.com/office/spreadsheetml/2009/9/main" objectType="Drop" dropLines="11" dropStyle="combo" dx="26" fmlaLink="SEEDLE_Option1" fmlaRange="Vars!$C$177:$C$179" noThreeD="1" sel="1" val="0"/>
</file>

<file path=xl/ctrlProps/ctrlProp66.xml><?xml version="1.0" encoding="utf-8"?>
<formControlPr xmlns="http://schemas.microsoft.com/office/spreadsheetml/2009/9/main" objectType="Drop" dropStyle="combo" dx="26" fmlaLink="SEEDLE_Option3" fmlaRange="Tray1To3" noThreeD="1" sel="1" val="0"/>
</file>

<file path=xl/ctrlProps/ctrlProp67.xml><?xml version="1.0" encoding="utf-8"?>
<formControlPr xmlns="http://schemas.microsoft.com/office/spreadsheetml/2009/9/main" objectType="Drop" dropLines="11" dropStyle="combo" dx="26" fmlaLink="SEEDLE_Option6" fmlaRange="Vars!$C$177:$C$179" noThreeD="1" sel="1" val="0"/>
</file>

<file path=xl/ctrlProps/ctrlProp68.xml><?xml version="1.0" encoding="utf-8"?>
<formControlPr xmlns="http://schemas.microsoft.com/office/spreadsheetml/2009/9/main" objectType="Drop" dropLines="11" dropStyle="combo" dx="26" fmlaLink="SEEDLE_Option7" fmlaRange="Vars!$C$177:$C$179" noThreeD="1" sel="1" val="0"/>
</file>

<file path=xl/ctrlProps/ctrlProp69.xml><?xml version="1.0" encoding="utf-8"?>
<formControlPr xmlns="http://schemas.microsoft.com/office/spreadsheetml/2009/9/main" objectType="Drop" dropLines="11" dropStyle="combo" dx="26" fmlaLink="SEEDLE_Option8" fmlaRange="Vars!$B$177:$B$179" noThreeD="1" sel="1" val="0"/>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Drop" dropStyle="combo" dx="26" fmlaLink="SEEDLE_Option4" fmlaRange="Tray1To3" noThreeD="1" sel="1" val="0"/>
</file>

<file path=xl/ctrlProps/ctrlProp71.xml><?xml version="1.0" encoding="utf-8"?>
<formControlPr xmlns="http://schemas.microsoft.com/office/spreadsheetml/2009/9/main" objectType="Drop" dropStyle="combo" dx="26" fmlaLink="SEEDLE_Option5" fmlaRange="Tray1To3" noThreeD="1" sel="1" val="0"/>
</file>

<file path=xl/ctrlProps/ctrlProp72.xml><?xml version="1.0" encoding="utf-8"?>
<formControlPr xmlns="http://schemas.microsoft.com/office/spreadsheetml/2009/9/main" objectType="Drop" dropStyle="combo" dx="26" fmlaLink="SEEDLE_Option9" fmlaRange="Tray1To3" noThreeD="1" sel="1" val="0"/>
</file>

<file path=xl/ctrlProps/ctrlProp73.xml><?xml version="1.0" encoding="utf-8"?>
<formControlPr xmlns="http://schemas.microsoft.com/office/spreadsheetml/2009/9/main" objectType="Drop" dropStyle="combo" dx="26" fmlaLink="SEEDLE_Option10" fmlaRange="Tray1To3" noThreeD="1" sel="1" val="0"/>
</file>

<file path=xl/ctrlProps/ctrlProp74.xml><?xml version="1.0" encoding="utf-8"?>
<formControlPr xmlns="http://schemas.microsoft.com/office/spreadsheetml/2009/9/main" objectType="Drop" dropStyle="combo" dx="26" fmlaLink="SEEDLE_Option11" fmlaRange="Tray1To3" noThreeD="1" sel="1" val="0"/>
</file>

<file path=xl/ctrlProps/ctrlProp75.xml><?xml version="1.0" encoding="utf-8"?>
<formControlPr xmlns="http://schemas.microsoft.com/office/spreadsheetml/2009/9/main" objectType="Drop" dropLines="21" dropStyle="combo" dx="26" fmlaLink="SEEDLE_N_SoftwareOrUpg" fmlaRange="Vars!$C$177:$C$197" noThreeD="1" sel="1" val="0"/>
</file>

<file path=xl/ctrlProps/ctrlProp76.xml><?xml version="1.0" encoding="utf-8"?>
<formControlPr xmlns="http://schemas.microsoft.com/office/spreadsheetml/2009/9/main" objectType="Drop" dropStyle="combo" dx="26" fmlaLink="SEEDLE_IndexClientVersion" fmlaRange="Vars!$H$56:$H$58" sel="1" val="0"/>
</file>

<file path=xl/ctrlProps/ctrlProp77.xml><?xml version="1.0" encoding="utf-8"?>
<formControlPr xmlns="http://schemas.microsoft.com/office/spreadsheetml/2009/9/main" objectType="CheckBox" fmlaLink="SEEDLE_ChkBox_UpgradeUpdate" lockText="1" noThreeD="1"/>
</file>

<file path=xl/ctrlProps/ctrlProp78.xml><?xml version="1.0" encoding="utf-8"?>
<formControlPr xmlns="http://schemas.microsoft.com/office/spreadsheetml/2009/9/main" objectType="CheckBox" checked="Checked" fmlaLink="Checkbox_Instructions" lockText="1" noThreeD="1"/>
</file>

<file path=xl/ctrlProps/ctrlProp79.xml><?xml version="1.0" encoding="utf-8"?>
<formControlPr xmlns="http://schemas.microsoft.com/office/spreadsheetml/2009/9/main" objectType="Drop" dropLines="21" dropStyle="combo" dx="26" fmlaLink="FOLIA_N_System" fmlaRange="Vars!$C$177:$C$197" noThreeD="1" sel="1" val="0"/>
</file>

<file path=xl/ctrlProps/ctrlProp8.xml><?xml version="1.0" encoding="utf-8"?>
<formControlPr xmlns="http://schemas.microsoft.com/office/spreadsheetml/2009/9/main" objectType="CheckBox" fmlaLink="QUOTE_FilledByCustomer" lockText="1"/>
</file>

<file path=xl/ctrlProps/ctrlProp80.xml><?xml version="1.0" encoding="utf-8"?>
<formControlPr xmlns="http://schemas.microsoft.com/office/spreadsheetml/2009/9/main" objectType="Drop" dropLines="11" dropStyle="combo" dx="26" fmlaLink="FOLIA_OptionTPU" fmlaRange="Vars!$C$177:$C$187" noThreeD="1" sel="1" val="0"/>
</file>

<file path=xl/ctrlProps/ctrlProp81.xml><?xml version="1.0" encoding="utf-8"?>
<formControlPr xmlns="http://schemas.microsoft.com/office/spreadsheetml/2009/9/main" objectType="CheckBox" fmlaLink="FOLIA_ClientWithOrWithoutScanner_ChkBox" lockText="1" noThreeD="1"/>
</file>

<file path=xl/ctrlProps/ctrlProp82.xml><?xml version="1.0" encoding="utf-8"?>
<formControlPr xmlns="http://schemas.microsoft.com/office/spreadsheetml/2009/9/main" objectType="Drop" dropLines="3" dropStyle="combo" dx="26" fmlaLink="FOLIA_IndexScanner" fmlaRange="Vars!$S$177:$S$179" noThreeD="1" sel="1" val="0"/>
</file>

<file path=xl/ctrlProps/ctrlProp83.xml><?xml version="1.0" encoding="utf-8"?>
<formControlPr xmlns="http://schemas.microsoft.com/office/spreadsheetml/2009/9/main" objectType="Drop" dropLines="11" dropStyle="combo" dx="26" fmlaLink="FOLIA_Option2" fmlaRange="Vars!$C$177:$C$179" noThreeD="1" sel="1" val="0"/>
</file>

<file path=xl/ctrlProps/ctrlProp84.xml><?xml version="1.0" encoding="utf-8"?>
<formControlPr xmlns="http://schemas.microsoft.com/office/spreadsheetml/2009/9/main" objectType="Drop" dropLines="11" dropStyle="combo" dx="26" fmlaLink="FOLIA_Option3" fmlaRange="Vars!$C$177:$C$179" noThreeD="1" sel="1" val="0"/>
</file>

<file path=xl/ctrlProps/ctrlProp85.xml><?xml version="1.0" encoding="utf-8"?>
<formControlPr xmlns="http://schemas.microsoft.com/office/spreadsheetml/2009/9/main" objectType="Drop" dropLines="11" dropStyle="combo" dx="26" fmlaLink="FOLIA_Option4" fmlaRange="Vars!$C$177:$C$179" noThreeD="1" sel="1" val="0"/>
</file>

<file path=xl/ctrlProps/ctrlProp86.xml><?xml version="1.0" encoding="utf-8"?>
<formControlPr xmlns="http://schemas.microsoft.com/office/spreadsheetml/2009/9/main" objectType="CheckBox" checked="Checked" fmlaLink="FOLIA_PosiOrBlueBG_Checkbox" lockText="1" noThreeD="1"/>
</file>

<file path=xl/ctrlProps/ctrlProp87.xml><?xml version="1.0" encoding="utf-8"?>
<formControlPr xmlns="http://schemas.microsoft.com/office/spreadsheetml/2009/9/main" objectType="Drop" dropLines="21" dropStyle="combo" dx="26" fmlaLink="FOLIA_N_SoftwareOrUpg" fmlaRange="Vars!$C$177:$C$197" noThreeD="1" sel="1" val="0"/>
</file>

<file path=xl/ctrlProps/ctrlProp88.xml><?xml version="1.0" encoding="utf-8"?>
<formControlPr xmlns="http://schemas.microsoft.com/office/spreadsheetml/2009/9/main" objectType="Drop" dropStyle="combo" dx="26" fmlaLink="FOLIA_IndexSoftware" fmlaRange="FOLIA_SoftwareFullNames" sel="2" val="0"/>
</file>

<file path=xl/ctrlProps/ctrlProp89.xml><?xml version="1.0" encoding="utf-8"?>
<formControlPr xmlns="http://schemas.microsoft.com/office/spreadsheetml/2009/9/main" objectType="Drop" dropLines="11" dropStyle="combo" dx="26" fmlaLink="FOLIA_N_AlreadyHaveSoftware" fmlaRange="Vars!$C$177:$C$186" noThreeD="1" sel="1" val="0"/>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Drop" dropStyle="combo" dx="26" fmlaLink="FOLIA_IndexClientVersion" fmlaRange="Vars!$G$56:$G$58" sel="2" val="0"/>
</file>

<file path=xl/ctrlProps/ctrlProp91.xml><?xml version="1.0" encoding="utf-8"?>
<formControlPr xmlns="http://schemas.microsoft.com/office/spreadsheetml/2009/9/main" objectType="CheckBox" fmlaLink="FOLIA_ChkBox_UpgradeUpdate" lockText="1" noThreeD="1"/>
</file>

<file path=xl/ctrlProps/ctrlProp92.xml><?xml version="1.0" encoding="utf-8"?>
<formControlPr xmlns="http://schemas.microsoft.com/office/spreadsheetml/2009/9/main" objectType="CheckBox" checked="Checked" fmlaLink="Checkbox_Instructions" lockText="1" noThreeD="1"/>
</file>

<file path=xl/ctrlProps/ctrlProp93.xml><?xml version="1.0" encoding="utf-8"?>
<formControlPr xmlns="http://schemas.microsoft.com/office/spreadsheetml/2009/9/main" objectType="Drop" dropLines="21" dropStyle="combo" dx="26" fmlaLink="CAM_N_System" fmlaRange="Vars!$C$177:$C$197" noThreeD="1" sel="1" val="0"/>
</file>

<file path=xl/ctrlProps/ctrlProp94.xml><?xml version="1.0" encoding="utf-8"?>
<formControlPr xmlns="http://schemas.microsoft.com/office/spreadsheetml/2009/9/main" objectType="Drop" dropLines="11" dropStyle="combo" dx="26" fmlaLink="CAM_OptionTPU" fmlaRange="Vars!$C$177:$C$187" noThreeD="1" sel="1" val="0"/>
</file>

<file path=xl/ctrlProps/ctrlProp95.xml><?xml version="1.0" encoding="utf-8"?>
<formControlPr xmlns="http://schemas.microsoft.com/office/spreadsheetml/2009/9/main" objectType="Drop" dropLines="11" dropStyle="combo" dx="26" fmlaLink="CAM_Option2" fmlaRange="Vars!$C$177:$C$179" noThreeD="1" sel="1" val="0"/>
</file>

<file path=xl/ctrlProps/ctrlProp96.xml><?xml version="1.0" encoding="utf-8"?>
<formControlPr xmlns="http://schemas.microsoft.com/office/spreadsheetml/2009/9/main" objectType="Drop" dropLines="11" dropStyle="combo" dx="26" fmlaLink="CAM_N_AlreadyHaveSoftware" fmlaRange="Vars!$C$177:$C$186" noThreeD="1" sel="1" val="0"/>
</file>

<file path=xl/ctrlProps/ctrlProp97.xml><?xml version="1.0" encoding="utf-8"?>
<formControlPr xmlns="http://schemas.microsoft.com/office/spreadsheetml/2009/9/main" objectType="Drop" dropLines="11" dropStyle="combo" dx="26" fmlaLink="CAM_Option3" fmlaRange="Vars!$C$177:$C$179" noThreeD="1" sel="1" val="0"/>
</file>

<file path=xl/ctrlProps/ctrlProp98.xml><?xml version="1.0" encoding="utf-8"?>
<formControlPr xmlns="http://schemas.microsoft.com/office/spreadsheetml/2009/9/main" objectType="Drop" dropLines="11" dropStyle="combo" dx="26" fmlaLink="CAM_Option4" fmlaRange="Vars!$C$177:$C$179" noThreeD="1" sel="1" val="0"/>
</file>

<file path=xl/ctrlProps/ctrlProp99.xml><?xml version="1.0" encoding="utf-8"?>
<formControlPr xmlns="http://schemas.microsoft.com/office/spreadsheetml/2009/9/main" objectType="CheckBox" fmlaLink="CAM_ClientWithOrWithoutScanner_Ch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_rels/drawing10.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6.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jpg"/><Relationship Id="rId2" Type="http://schemas.openxmlformats.org/officeDocument/2006/relationships/image" Target="../media/image12.png"/><Relationship Id="rId1" Type="http://schemas.openxmlformats.org/officeDocument/2006/relationships/image" Target="../media/image11.jpg"/><Relationship Id="rId5" Type="http://schemas.openxmlformats.org/officeDocument/2006/relationships/image" Target="../media/image15.emf"/><Relationship Id="rId4" Type="http://schemas.openxmlformats.org/officeDocument/2006/relationships/image" Target="../media/image14.emf"/></Relationships>
</file>

<file path=xl/drawings/_rels/drawing3.xml.rels><?xml version="1.0" encoding="UTF-8" standalone="yes"?>
<Relationships xmlns="http://schemas.openxmlformats.org/package/2006/relationships"><Relationship Id="rId3" Type="http://schemas.openxmlformats.org/officeDocument/2006/relationships/image" Target="../media/image13.jpg"/><Relationship Id="rId2" Type="http://schemas.openxmlformats.org/officeDocument/2006/relationships/image" Target="../media/image12.png"/><Relationship Id="rId1" Type="http://schemas.openxmlformats.org/officeDocument/2006/relationships/image" Target="../media/image11.jpg"/><Relationship Id="rId5" Type="http://schemas.openxmlformats.org/officeDocument/2006/relationships/image" Target="../media/image19.emf"/><Relationship Id="rId4" Type="http://schemas.openxmlformats.org/officeDocument/2006/relationships/image" Target="../media/image18.emf"/></Relationships>
</file>

<file path=xl/drawings/_rels/drawing4.xml.rels><?xml version="1.0" encoding="UTF-8" standalone="yes"?>
<Relationships xmlns="http://schemas.openxmlformats.org/package/2006/relationships"><Relationship Id="rId3" Type="http://schemas.openxmlformats.org/officeDocument/2006/relationships/image" Target="../media/image23.jpg"/><Relationship Id="rId2" Type="http://schemas.openxmlformats.org/officeDocument/2006/relationships/image" Target="../media/image22.emf"/><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 Id="rId5" Type="http://schemas.openxmlformats.org/officeDocument/2006/relationships/image" Target="../media/image10.emf"/><Relationship Id="rId4" Type="http://schemas.openxmlformats.org/officeDocument/2006/relationships/image" Target="../media/image9.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17.emf"/><Relationship Id="rId1" Type="http://schemas.openxmlformats.org/officeDocument/2006/relationships/image" Target="../media/image16.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21.emf"/><Relationship Id="rId1" Type="http://schemas.openxmlformats.org/officeDocument/2006/relationships/image" Target="../media/image20.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4.emf"/></Relationships>
</file>

<file path=xl/drawings/drawing1.xml><?xml version="1.0" encoding="utf-8"?>
<xdr:wsDr xmlns:xdr="http://schemas.openxmlformats.org/drawingml/2006/spreadsheetDrawing" xmlns:a="http://schemas.openxmlformats.org/drawingml/2006/main">
  <xdr:twoCellAnchor editAs="oneCell">
    <xdr:from>
      <xdr:col>13</xdr:col>
      <xdr:colOff>171450</xdr:colOff>
      <xdr:row>7</xdr:row>
      <xdr:rowOff>19050</xdr:rowOff>
    </xdr:from>
    <xdr:to>
      <xdr:col>15</xdr:col>
      <xdr:colOff>1114425</xdr:colOff>
      <xdr:row>7</xdr:row>
      <xdr:rowOff>171450</xdr:rowOff>
    </xdr:to>
    <xdr:sp macro="" textlink="">
      <xdr:nvSpPr>
        <xdr:cNvPr id="97282" name="Check Box SameAsBillTo" hidden="1">
          <a:extLst>
            <a:ext uri="{63B3BB69-23CF-44E3-9099-C40C66FF867C}">
              <a14:compatExt xmlns:a14="http://schemas.microsoft.com/office/drawing/2010/main" spid="_x0000_s97282"/>
            </a:ext>
            <a:ext uri="{FF2B5EF4-FFF2-40B4-BE49-F238E27FC236}">
              <a16:creationId xmlns:a16="http://schemas.microsoft.com/office/drawing/2014/main" id="{00000000-0008-0000-0000-0000027C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Segoe UI"/>
              <a:cs typeface="Segoe UI"/>
            </a:rPr>
            <a:t>Same as Billing address</a:t>
          </a:r>
        </a:p>
      </xdr:txBody>
    </xdr:sp>
    <xdr:clientData/>
  </xdr:twoCellAnchor>
  <mc:AlternateContent xmlns:mc="http://schemas.openxmlformats.org/markup-compatibility/2006">
    <mc:Choice xmlns:a14="http://schemas.microsoft.com/office/drawing/2010/main" Requires="a14">
      <xdr:twoCellAnchor editAs="oneCell">
        <xdr:from>
          <xdr:col>0</xdr:col>
          <xdr:colOff>281940</xdr:colOff>
          <xdr:row>3</xdr:row>
          <xdr:rowOff>0</xdr:rowOff>
        </xdr:from>
        <xdr:to>
          <xdr:col>17</xdr:col>
          <xdr:colOff>2148840</xdr:colOff>
          <xdr:row>4</xdr:row>
          <xdr:rowOff>19050</xdr:rowOff>
        </xdr:to>
        <xdr:pic>
          <xdr:nvPicPr>
            <xdr:cNvPr id="3" name="HomeEn" hidden="1">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Vars!$C$208" spid="_x0000_s1587207"/>
                </a:ext>
              </a:extLst>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bwMode="auto">
            <a:xfrm>
              <a:off x="281940" y="733425"/>
              <a:ext cx="15220950" cy="3743325"/>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281940</xdr:colOff>
          <xdr:row>3</xdr:row>
          <xdr:rowOff>0</xdr:rowOff>
        </xdr:from>
        <xdr:to>
          <xdr:col>17</xdr:col>
          <xdr:colOff>2148840</xdr:colOff>
          <xdr:row>4</xdr:row>
          <xdr:rowOff>19050</xdr:rowOff>
        </xdr:to>
        <xdr:pic>
          <xdr:nvPicPr>
            <xdr:cNvPr id="5" name="HomeFr">
              <a:extLst>
                <a:ext uri="{FF2B5EF4-FFF2-40B4-BE49-F238E27FC236}">
                  <a16:creationId xmlns:a16="http://schemas.microsoft.com/office/drawing/2014/main" id="{00000000-0008-0000-0000-000005000000}"/>
                </a:ext>
              </a:extLst>
            </xdr:cNvPr>
            <xdr:cNvPicPr>
              <a:picLocks noChangeAspect="1" noChangeArrowheads="1"/>
              <a:extLst>
                <a:ext uri="{84589F7E-364E-4C9E-8A38-B11213B215E9}">
                  <a14:cameraTool cellRange="Vars!$C$209" spid="_x0000_s1587208"/>
                </a:ext>
              </a:extLst>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bwMode="auto">
            <a:xfrm>
              <a:off x="281940" y="733425"/>
              <a:ext cx="15220950" cy="37433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281940</xdr:colOff>
          <xdr:row>3</xdr:row>
          <xdr:rowOff>0</xdr:rowOff>
        </xdr:from>
        <xdr:to>
          <xdr:col>17</xdr:col>
          <xdr:colOff>2148840</xdr:colOff>
          <xdr:row>4</xdr:row>
          <xdr:rowOff>19050</xdr:rowOff>
        </xdr:to>
        <xdr:pic>
          <xdr:nvPicPr>
            <xdr:cNvPr id="2" name="HomeEnPasSameClient" hidden="1">
              <a:extLst>
                <a:ext uri="{FF2B5EF4-FFF2-40B4-BE49-F238E27FC236}">
                  <a16:creationId xmlns:a16="http://schemas.microsoft.com/office/drawing/2014/main" id="{00000000-0008-0000-0000-000002000000}"/>
                </a:ext>
              </a:extLst>
            </xdr:cNvPr>
            <xdr:cNvPicPr>
              <a:picLocks noChangeAspect="1" noChangeArrowheads="1"/>
              <a:extLst>
                <a:ext uri="{84589F7E-364E-4C9E-8A38-B11213B215E9}">
                  <a14:cameraTool cellRange="Vars!$C$210" spid="_x0000_s1587209"/>
                </a:ext>
              </a:extLst>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bwMode="auto">
            <a:xfrm>
              <a:off x="281940" y="733425"/>
              <a:ext cx="15220950" cy="3743325"/>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281940</xdr:colOff>
          <xdr:row>3</xdr:row>
          <xdr:rowOff>0</xdr:rowOff>
        </xdr:from>
        <xdr:to>
          <xdr:col>17</xdr:col>
          <xdr:colOff>2148840</xdr:colOff>
          <xdr:row>4</xdr:row>
          <xdr:rowOff>19050</xdr:rowOff>
        </xdr:to>
        <xdr:pic>
          <xdr:nvPicPr>
            <xdr:cNvPr id="4" name="HomeFrPasSameClient" hidden="1">
              <a:extLst>
                <a:ext uri="{FF2B5EF4-FFF2-40B4-BE49-F238E27FC236}">
                  <a16:creationId xmlns:a16="http://schemas.microsoft.com/office/drawing/2014/main" id="{00000000-0008-0000-0000-000004000000}"/>
                </a:ext>
              </a:extLst>
            </xdr:cNvPr>
            <xdr:cNvPicPr>
              <a:picLocks noChangeAspect="1" noChangeArrowheads="1"/>
              <a:extLst>
                <a:ext uri="{84589F7E-364E-4C9E-8A38-B11213B215E9}">
                  <a14:cameraTool cellRange="Vars!$C$211" spid="_x0000_s1587210"/>
                </a:ext>
              </a:extLst>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bwMode="auto">
            <a:xfrm>
              <a:off x="281940" y="733425"/>
              <a:ext cx="15220950" cy="37433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xdr:row>
          <xdr:rowOff>76200</xdr:rowOff>
        </xdr:from>
        <xdr:to>
          <xdr:col>15</xdr:col>
          <xdr:colOff>1362075</xdr:colOff>
          <xdr:row>2</xdr:row>
          <xdr:rowOff>284673</xdr:rowOff>
        </xdr:to>
        <xdr:pic>
          <xdr:nvPicPr>
            <xdr:cNvPr id="6" name="PictureCurrency1">
              <a:extLst>
                <a:ext uri="{FF2B5EF4-FFF2-40B4-BE49-F238E27FC236}">
                  <a16:creationId xmlns:a16="http://schemas.microsoft.com/office/drawing/2014/main" id="{00000000-0008-0000-0000-000006000000}"/>
                </a:ext>
              </a:extLst>
            </xdr:cNvPr>
            <xdr:cNvPicPr>
              <a:picLocks noChangeAspect="1" noChangeArrowheads="1"/>
              <a:extLst>
                <a:ext uri="{84589F7E-364E-4C9E-8A38-B11213B215E9}">
                  <a14:cameraTool cellRange="FLAGS_IndexMatch" spid="_x0000_s1587211"/>
                </a:ext>
              </a:extLst>
            </xdr:cNvPicPr>
          </xdr:nvPicPr>
          <xdr:blipFill>
            <a:blip xmlns:r="http://schemas.openxmlformats.org/officeDocument/2006/relationships" r:embed="rId5">
              <a:clrChange>
                <a:clrFrom>
                  <a:srgbClr val="FFFFFF"/>
                </a:clrFrom>
                <a:clrTo>
                  <a:srgbClr val="FFFFFF">
                    <a:alpha val="0"/>
                  </a:srgbClr>
                </a:clrTo>
              </a:clrChange>
            </a:blip>
            <a:srcRect/>
            <a:stretch>
              <a:fillRect/>
            </a:stretch>
          </xdr:blipFill>
          <xdr:spPr bwMode="auto">
            <a:xfrm>
              <a:off x="10801350" y="476250"/>
              <a:ext cx="1228725" cy="208473"/>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10</xdr:col>
          <xdr:colOff>101600</xdr:colOff>
          <xdr:row>18</xdr:row>
          <xdr:rowOff>63500</xdr:rowOff>
        </xdr:from>
        <xdr:to>
          <xdr:col>11</xdr:col>
          <xdr:colOff>165100</xdr:colOff>
          <xdr:row>19</xdr:row>
          <xdr:rowOff>76200</xdr:rowOff>
        </xdr:to>
        <xdr:sp macro="" textlink="">
          <xdr:nvSpPr>
            <xdr:cNvPr id="1409866" name="HOME_ButtonBillToVersShipTo" hidden="1">
              <a:extLst>
                <a:ext uri="{63B3BB69-23CF-44E3-9099-C40C66FF867C}">
                  <a14:compatExt spid="_x0000_s1409866"/>
                </a:ext>
                <a:ext uri="{FF2B5EF4-FFF2-40B4-BE49-F238E27FC236}">
                  <a16:creationId xmlns:a16="http://schemas.microsoft.com/office/drawing/2014/main" id="{00000000-0008-0000-0000-00004A831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200" b="0" i="0" u="none" strike="noStrike" baseline="0">
                  <a:solidFill>
                    <a:srgbClr val="000000"/>
                  </a:solidFill>
                  <a:latin typeface="Calibri" pitchFamily="2" charset="0"/>
                  <a:cs typeface="Calibri" pitchFamily="2" charset="0"/>
                </a:rPr>
                <a:t>Ship To ↙ End User</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25400</xdr:colOff>
          <xdr:row>0</xdr:row>
          <xdr:rowOff>25400</xdr:rowOff>
        </xdr:from>
        <xdr:to>
          <xdr:col>5</xdr:col>
          <xdr:colOff>1092200</xdr:colOff>
          <xdr:row>0</xdr:row>
          <xdr:rowOff>228600</xdr:rowOff>
        </xdr:to>
        <xdr:sp macro="" textlink="">
          <xdr:nvSpPr>
            <xdr:cNvPr id="80897" name="Check Box 1" hidden="1">
              <a:extLst>
                <a:ext uri="{63B3BB69-23CF-44E3-9099-C40C66FF867C}">
                  <a14:compatExt spid="_x0000_s80897"/>
                </a:ext>
                <a:ext uri="{FF2B5EF4-FFF2-40B4-BE49-F238E27FC236}">
                  <a16:creationId xmlns:a16="http://schemas.microsoft.com/office/drawing/2014/main" id="{00000000-0008-0000-0B00-0000013C0100}"/>
                </a:ext>
              </a:extLst>
            </xdr:cNvPr>
            <xdr:cNvSpPr/>
          </xdr:nvSpPr>
          <xdr:spPr bwMode="auto">
            <a:xfrm>
              <a:off x="0" y="0"/>
              <a:ext cx="0" cy="0"/>
            </a:xfrm>
            <a:prstGeom prst="rect">
              <a:avLst/>
            </a:prstGeom>
            <a:noFill/>
            <a:ln>
              <a:noFill/>
            </a:ln>
            <a:extLst>
              <a:ext uri="{909E8E84-426E-40DD-AFC4-6F175D3DCCD1}">
                <a14:hiddenFill>
                  <a:solidFill>
                    <a:srgbClr val="FF0000"/>
                  </a:solidFill>
                </a14:hiddenFill>
              </a:ext>
              <a:ext uri="{91240B29-F687-4F45-9708-019B960494DF}">
                <a14:hiddenLine w="9525">
                  <a:solidFill>
                    <a:srgbClr val="FFFFFF"/>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xdr:twoCellAnchor>
    <xdr:from>
      <xdr:col>5</xdr:col>
      <xdr:colOff>283370</xdr:colOff>
      <xdr:row>0</xdr:row>
      <xdr:rowOff>0</xdr:rowOff>
    </xdr:from>
    <xdr:to>
      <xdr:col>5</xdr:col>
      <xdr:colOff>1143000</xdr:colOff>
      <xdr:row>0</xdr:row>
      <xdr:rowOff>195262</xdr:rowOff>
    </xdr:to>
    <xdr:sp macro="" textlink="" fLocksText="0">
      <xdr:nvSpPr>
        <xdr:cNvPr id="3" name="TextBox 2">
          <a:extLst>
            <a:ext uri="{FF2B5EF4-FFF2-40B4-BE49-F238E27FC236}">
              <a16:creationId xmlns:a16="http://schemas.microsoft.com/office/drawing/2014/main" id="{00000000-0008-0000-0900-000003000000}"/>
            </a:ext>
          </a:extLst>
        </xdr:cNvPr>
        <xdr:cNvSpPr txBox="1"/>
      </xdr:nvSpPr>
      <xdr:spPr>
        <a:xfrm>
          <a:off x="9522620" y="0"/>
          <a:ext cx="802480" cy="195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i="1" u="sng">
              <a:solidFill>
                <a:srgbClr val="C00000"/>
              </a:solidFill>
            </a:rPr>
            <a:t>Instructions</a:t>
          </a:r>
        </a:p>
      </xdr:txBody>
    </xdr:sp>
    <xdr:clientData/>
  </xdr:twoCellAnchor>
  <mc:AlternateContent xmlns:mc="http://schemas.openxmlformats.org/markup-compatibility/2006">
    <mc:Choice xmlns:a14="http://schemas.microsoft.com/office/drawing/2010/main" Requires="a14">
      <xdr:twoCellAnchor editAs="oneCell">
        <xdr:from>
          <xdr:col>4</xdr:col>
          <xdr:colOff>76200</xdr:colOff>
          <xdr:row>2</xdr:row>
          <xdr:rowOff>215900</xdr:rowOff>
        </xdr:from>
        <xdr:to>
          <xdr:col>4</xdr:col>
          <xdr:colOff>3136900</xdr:colOff>
          <xdr:row>4</xdr:row>
          <xdr:rowOff>12700</xdr:rowOff>
        </xdr:to>
        <xdr:sp macro="" textlink="">
          <xdr:nvSpPr>
            <xdr:cNvPr id="80910" name="Drop Down 14" hidden="1">
              <a:extLst>
                <a:ext uri="{63B3BB69-23CF-44E3-9099-C40C66FF867C}">
                  <a14:compatExt spid="_x0000_s80910"/>
                </a:ext>
                <a:ext uri="{FF2B5EF4-FFF2-40B4-BE49-F238E27FC236}">
                  <a16:creationId xmlns:a16="http://schemas.microsoft.com/office/drawing/2014/main" id="{00000000-0008-0000-0B00-00000E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13</xdr:row>
          <xdr:rowOff>101600</xdr:rowOff>
        </xdr:from>
        <xdr:to>
          <xdr:col>2</xdr:col>
          <xdr:colOff>25400</xdr:colOff>
          <xdr:row>13</xdr:row>
          <xdr:rowOff>292100</xdr:rowOff>
        </xdr:to>
        <xdr:sp macro="" textlink="">
          <xdr:nvSpPr>
            <xdr:cNvPr id="80914" name="Drop Down 18" hidden="1">
              <a:extLst>
                <a:ext uri="{63B3BB69-23CF-44E3-9099-C40C66FF867C}">
                  <a14:compatExt spid="_x0000_s80914"/>
                </a:ext>
                <a:ext uri="{FF2B5EF4-FFF2-40B4-BE49-F238E27FC236}">
                  <a16:creationId xmlns:a16="http://schemas.microsoft.com/office/drawing/2014/main" id="{00000000-0008-0000-0B00-000012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76200</xdr:colOff>
          <xdr:row>4</xdr:row>
          <xdr:rowOff>0</xdr:rowOff>
        </xdr:from>
        <xdr:to>
          <xdr:col>4</xdr:col>
          <xdr:colOff>1473200</xdr:colOff>
          <xdr:row>5</xdr:row>
          <xdr:rowOff>0</xdr:rowOff>
        </xdr:to>
        <xdr:sp macro="" textlink="">
          <xdr:nvSpPr>
            <xdr:cNvPr id="80915" name="DropDown_IndexClientVersion" hidden="1">
              <a:extLst>
                <a:ext uri="{63B3BB69-23CF-44E3-9099-C40C66FF867C}">
                  <a14:compatExt spid="_x0000_s80915"/>
                </a:ext>
                <a:ext uri="{FF2B5EF4-FFF2-40B4-BE49-F238E27FC236}">
                  <a16:creationId xmlns:a16="http://schemas.microsoft.com/office/drawing/2014/main" id="{00000000-0008-0000-0B00-000013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114300</xdr:colOff>
          <xdr:row>8</xdr:row>
          <xdr:rowOff>25400</xdr:rowOff>
        </xdr:from>
        <xdr:to>
          <xdr:col>9</xdr:col>
          <xdr:colOff>863600</xdr:colOff>
          <xdr:row>9</xdr:row>
          <xdr:rowOff>0</xdr:rowOff>
        </xdr:to>
        <xdr:sp macro="" textlink="">
          <xdr:nvSpPr>
            <xdr:cNvPr id="80928" name="Drop Down 32" hidden="1">
              <a:extLst>
                <a:ext uri="{63B3BB69-23CF-44E3-9099-C40C66FF867C}">
                  <a14:compatExt spid="_x0000_s80928"/>
                </a:ext>
                <a:ext uri="{FF2B5EF4-FFF2-40B4-BE49-F238E27FC236}">
                  <a16:creationId xmlns:a16="http://schemas.microsoft.com/office/drawing/2014/main" id="{00000000-0008-0000-0B00-000020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101600</xdr:colOff>
          <xdr:row>13</xdr:row>
          <xdr:rowOff>355600</xdr:rowOff>
        </xdr:from>
        <xdr:to>
          <xdr:col>2</xdr:col>
          <xdr:colOff>736600</xdr:colOff>
          <xdr:row>15</xdr:row>
          <xdr:rowOff>25400</xdr:rowOff>
        </xdr:to>
        <xdr:sp macro="" textlink="">
          <xdr:nvSpPr>
            <xdr:cNvPr id="80929" name="ScannerCheckbox" hidden="1">
              <a:extLst>
                <a:ext uri="{63B3BB69-23CF-44E3-9099-C40C66FF867C}">
                  <a14:compatExt spid="_x0000_s80929"/>
                </a:ext>
                <a:ext uri="{FF2B5EF4-FFF2-40B4-BE49-F238E27FC236}">
                  <a16:creationId xmlns:a16="http://schemas.microsoft.com/office/drawing/2014/main" id="{00000000-0008-0000-0B00-0000213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101600</xdr:colOff>
          <xdr:row>19</xdr:row>
          <xdr:rowOff>165100</xdr:rowOff>
        </xdr:from>
        <xdr:to>
          <xdr:col>2</xdr:col>
          <xdr:colOff>2870200</xdr:colOff>
          <xdr:row>21</xdr:row>
          <xdr:rowOff>25400</xdr:rowOff>
        </xdr:to>
        <xdr:sp macro="" textlink="">
          <xdr:nvSpPr>
            <xdr:cNvPr id="80930" name="PosiOrBlueBG_Checkbox" hidden="1">
              <a:extLst>
                <a:ext uri="{63B3BB69-23CF-44E3-9099-C40C66FF867C}">
                  <a14:compatExt spid="_x0000_s80930"/>
                </a:ext>
                <a:ext uri="{FF2B5EF4-FFF2-40B4-BE49-F238E27FC236}">
                  <a16:creationId xmlns:a16="http://schemas.microsoft.com/office/drawing/2014/main" id="{00000000-0008-0000-0B00-0000223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736600</xdr:colOff>
          <xdr:row>14</xdr:row>
          <xdr:rowOff>0</xdr:rowOff>
        </xdr:from>
        <xdr:to>
          <xdr:col>2</xdr:col>
          <xdr:colOff>2006600</xdr:colOff>
          <xdr:row>15</xdr:row>
          <xdr:rowOff>25400</xdr:rowOff>
        </xdr:to>
        <xdr:sp macro="" textlink="">
          <xdr:nvSpPr>
            <xdr:cNvPr id="80932" name="DropDown_IndexScanner" hidden="1">
              <a:extLst>
                <a:ext uri="{63B3BB69-23CF-44E3-9099-C40C66FF867C}">
                  <a14:compatExt spid="_x0000_s80932"/>
                </a:ext>
                <a:ext uri="{FF2B5EF4-FFF2-40B4-BE49-F238E27FC236}">
                  <a16:creationId xmlns:a16="http://schemas.microsoft.com/office/drawing/2014/main" id="{00000000-0008-0000-0B00-000024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24</xdr:row>
          <xdr:rowOff>25400</xdr:rowOff>
        </xdr:from>
        <xdr:to>
          <xdr:col>5</xdr:col>
          <xdr:colOff>749300</xdr:colOff>
          <xdr:row>24</xdr:row>
          <xdr:rowOff>177800</xdr:rowOff>
        </xdr:to>
        <xdr:sp macro="" textlink="">
          <xdr:nvSpPr>
            <xdr:cNvPr id="80935" name="Drop Down 39" hidden="1">
              <a:extLst>
                <a:ext uri="{63B3BB69-23CF-44E3-9099-C40C66FF867C}">
                  <a14:compatExt spid="_x0000_s80935"/>
                </a:ext>
                <a:ext uri="{FF2B5EF4-FFF2-40B4-BE49-F238E27FC236}">
                  <a16:creationId xmlns:a16="http://schemas.microsoft.com/office/drawing/2014/main" id="{00000000-0008-0000-0B00-000027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23</xdr:row>
          <xdr:rowOff>25400</xdr:rowOff>
        </xdr:from>
        <xdr:to>
          <xdr:col>5</xdr:col>
          <xdr:colOff>749300</xdr:colOff>
          <xdr:row>23</xdr:row>
          <xdr:rowOff>177800</xdr:rowOff>
        </xdr:to>
        <xdr:sp macro="" textlink="">
          <xdr:nvSpPr>
            <xdr:cNvPr id="80936" name="Drop Down 40" hidden="1">
              <a:extLst>
                <a:ext uri="{63B3BB69-23CF-44E3-9099-C40C66FF867C}">
                  <a14:compatExt spid="_x0000_s80936"/>
                </a:ext>
                <a:ext uri="{FF2B5EF4-FFF2-40B4-BE49-F238E27FC236}">
                  <a16:creationId xmlns:a16="http://schemas.microsoft.com/office/drawing/2014/main" id="{00000000-0008-0000-0B00-000028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25</xdr:row>
          <xdr:rowOff>25400</xdr:rowOff>
        </xdr:from>
        <xdr:to>
          <xdr:col>5</xdr:col>
          <xdr:colOff>749300</xdr:colOff>
          <xdr:row>25</xdr:row>
          <xdr:rowOff>177800</xdr:rowOff>
        </xdr:to>
        <xdr:sp macro="" textlink="">
          <xdr:nvSpPr>
            <xdr:cNvPr id="80937" name="Drop Down 41" hidden="1">
              <a:extLst>
                <a:ext uri="{63B3BB69-23CF-44E3-9099-C40C66FF867C}">
                  <a14:compatExt spid="_x0000_s80937"/>
                </a:ext>
                <a:ext uri="{FF2B5EF4-FFF2-40B4-BE49-F238E27FC236}">
                  <a16:creationId xmlns:a16="http://schemas.microsoft.com/office/drawing/2014/main" id="{00000000-0008-0000-0B00-000029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28</xdr:row>
          <xdr:rowOff>25400</xdr:rowOff>
        </xdr:from>
        <xdr:to>
          <xdr:col>5</xdr:col>
          <xdr:colOff>749300</xdr:colOff>
          <xdr:row>28</xdr:row>
          <xdr:rowOff>177800</xdr:rowOff>
        </xdr:to>
        <xdr:sp macro="" textlink="">
          <xdr:nvSpPr>
            <xdr:cNvPr id="80938" name="Drop Down 42" hidden="1">
              <a:extLst>
                <a:ext uri="{63B3BB69-23CF-44E3-9099-C40C66FF867C}">
                  <a14:compatExt spid="_x0000_s80938"/>
                </a:ext>
                <a:ext uri="{FF2B5EF4-FFF2-40B4-BE49-F238E27FC236}">
                  <a16:creationId xmlns:a16="http://schemas.microsoft.com/office/drawing/2014/main" id="{00000000-0008-0000-0B00-00002A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29</xdr:row>
          <xdr:rowOff>25400</xdr:rowOff>
        </xdr:from>
        <xdr:to>
          <xdr:col>5</xdr:col>
          <xdr:colOff>749300</xdr:colOff>
          <xdr:row>29</xdr:row>
          <xdr:rowOff>177800</xdr:rowOff>
        </xdr:to>
        <xdr:sp macro="" textlink="">
          <xdr:nvSpPr>
            <xdr:cNvPr id="80939" name="Drop Down 43" hidden="1">
              <a:extLst>
                <a:ext uri="{63B3BB69-23CF-44E3-9099-C40C66FF867C}">
                  <a14:compatExt spid="_x0000_s80939"/>
                </a:ext>
                <a:ext uri="{FF2B5EF4-FFF2-40B4-BE49-F238E27FC236}">
                  <a16:creationId xmlns:a16="http://schemas.microsoft.com/office/drawing/2014/main" id="{00000000-0008-0000-0B00-00002B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30</xdr:row>
          <xdr:rowOff>25400</xdr:rowOff>
        </xdr:from>
        <xdr:to>
          <xdr:col>5</xdr:col>
          <xdr:colOff>749300</xdr:colOff>
          <xdr:row>30</xdr:row>
          <xdr:rowOff>177800</xdr:rowOff>
        </xdr:to>
        <xdr:sp macro="" textlink="">
          <xdr:nvSpPr>
            <xdr:cNvPr id="80940" name="Drop Down 44" hidden="1">
              <a:extLst>
                <a:ext uri="{63B3BB69-23CF-44E3-9099-C40C66FF867C}">
                  <a14:compatExt spid="_x0000_s80940"/>
                </a:ext>
                <a:ext uri="{FF2B5EF4-FFF2-40B4-BE49-F238E27FC236}">
                  <a16:creationId xmlns:a16="http://schemas.microsoft.com/office/drawing/2014/main" id="{00000000-0008-0000-0B00-00002C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26</xdr:row>
          <xdr:rowOff>25400</xdr:rowOff>
        </xdr:from>
        <xdr:to>
          <xdr:col>5</xdr:col>
          <xdr:colOff>749300</xdr:colOff>
          <xdr:row>26</xdr:row>
          <xdr:rowOff>177800</xdr:rowOff>
        </xdr:to>
        <xdr:sp macro="" textlink="">
          <xdr:nvSpPr>
            <xdr:cNvPr id="80941" name="Drop Down 45" hidden="1">
              <a:extLst>
                <a:ext uri="{63B3BB69-23CF-44E3-9099-C40C66FF867C}">
                  <a14:compatExt spid="_x0000_s80941"/>
                </a:ext>
                <a:ext uri="{FF2B5EF4-FFF2-40B4-BE49-F238E27FC236}">
                  <a16:creationId xmlns:a16="http://schemas.microsoft.com/office/drawing/2014/main" id="{00000000-0008-0000-0B00-00002D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27</xdr:row>
          <xdr:rowOff>25400</xdr:rowOff>
        </xdr:from>
        <xdr:to>
          <xdr:col>5</xdr:col>
          <xdr:colOff>749300</xdr:colOff>
          <xdr:row>27</xdr:row>
          <xdr:rowOff>177800</xdr:rowOff>
        </xdr:to>
        <xdr:sp macro="" textlink="">
          <xdr:nvSpPr>
            <xdr:cNvPr id="80942" name="Drop Down 46" hidden="1">
              <a:extLst>
                <a:ext uri="{63B3BB69-23CF-44E3-9099-C40C66FF867C}">
                  <a14:compatExt spid="_x0000_s80942"/>
                </a:ext>
                <a:ext uri="{FF2B5EF4-FFF2-40B4-BE49-F238E27FC236}">
                  <a16:creationId xmlns:a16="http://schemas.microsoft.com/office/drawing/2014/main" id="{00000000-0008-0000-0B00-00002E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31</xdr:row>
          <xdr:rowOff>25400</xdr:rowOff>
        </xdr:from>
        <xdr:to>
          <xdr:col>5</xdr:col>
          <xdr:colOff>749300</xdr:colOff>
          <xdr:row>31</xdr:row>
          <xdr:rowOff>177800</xdr:rowOff>
        </xdr:to>
        <xdr:sp macro="" textlink="">
          <xdr:nvSpPr>
            <xdr:cNvPr id="80943" name="Drop Down 47" hidden="1">
              <a:extLst>
                <a:ext uri="{63B3BB69-23CF-44E3-9099-C40C66FF867C}">
                  <a14:compatExt spid="_x0000_s80943"/>
                </a:ext>
                <a:ext uri="{FF2B5EF4-FFF2-40B4-BE49-F238E27FC236}">
                  <a16:creationId xmlns:a16="http://schemas.microsoft.com/office/drawing/2014/main" id="{00000000-0008-0000-0B00-00002F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32</xdr:row>
          <xdr:rowOff>25400</xdr:rowOff>
        </xdr:from>
        <xdr:to>
          <xdr:col>5</xdr:col>
          <xdr:colOff>749300</xdr:colOff>
          <xdr:row>32</xdr:row>
          <xdr:rowOff>177800</xdr:rowOff>
        </xdr:to>
        <xdr:sp macro="" textlink="">
          <xdr:nvSpPr>
            <xdr:cNvPr id="80944" name="Drop Down 48" hidden="1">
              <a:extLst>
                <a:ext uri="{63B3BB69-23CF-44E3-9099-C40C66FF867C}">
                  <a14:compatExt spid="_x0000_s80944"/>
                </a:ext>
                <a:ext uri="{FF2B5EF4-FFF2-40B4-BE49-F238E27FC236}">
                  <a16:creationId xmlns:a16="http://schemas.microsoft.com/office/drawing/2014/main" id="{00000000-0008-0000-0B00-000030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33</xdr:row>
          <xdr:rowOff>25400</xdr:rowOff>
        </xdr:from>
        <xdr:to>
          <xdr:col>5</xdr:col>
          <xdr:colOff>749300</xdr:colOff>
          <xdr:row>33</xdr:row>
          <xdr:rowOff>177800</xdr:rowOff>
        </xdr:to>
        <xdr:sp macro="" textlink="">
          <xdr:nvSpPr>
            <xdr:cNvPr id="80945" name="Drop Down 49" hidden="1">
              <a:extLst>
                <a:ext uri="{63B3BB69-23CF-44E3-9099-C40C66FF867C}">
                  <a14:compatExt spid="_x0000_s80945"/>
                </a:ext>
                <a:ext uri="{FF2B5EF4-FFF2-40B4-BE49-F238E27FC236}">
                  <a16:creationId xmlns:a16="http://schemas.microsoft.com/office/drawing/2014/main" id="{00000000-0008-0000-0B00-000031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88900</xdr:colOff>
          <xdr:row>4</xdr:row>
          <xdr:rowOff>12700</xdr:rowOff>
        </xdr:from>
        <xdr:to>
          <xdr:col>2</xdr:col>
          <xdr:colOff>2984500</xdr:colOff>
          <xdr:row>4</xdr:row>
          <xdr:rowOff>215900</xdr:rowOff>
        </xdr:to>
        <xdr:sp macro="" textlink="">
          <xdr:nvSpPr>
            <xdr:cNvPr id="80946" name="ChkB_UpgradeUpdate" hidden="1">
              <a:extLst>
                <a:ext uri="{63B3BB69-23CF-44E3-9099-C40C66FF867C}">
                  <a14:compatExt spid="_x0000_s80946"/>
                </a:ext>
                <a:ext uri="{FF2B5EF4-FFF2-40B4-BE49-F238E27FC236}">
                  <a16:creationId xmlns:a16="http://schemas.microsoft.com/office/drawing/2014/main" id="{00000000-0008-0000-0B00-0000323C0100}"/>
                </a:ext>
              </a:extLst>
            </xdr:cNvPr>
            <xdr:cNvSpPr/>
          </xdr:nvSpPr>
          <xdr:spPr bwMode="auto">
            <a:xfrm>
              <a:off x="0" y="0"/>
              <a:ext cx="0" cy="0"/>
            </a:xfrm>
            <a:prstGeom prst="rect">
              <a:avLst/>
            </a:prstGeom>
            <a:noFill/>
            <a:ln>
              <a:noFill/>
            </a:ln>
            <a:extLst>
              <a:ext uri="{909E8E84-426E-40DD-AFC4-6F175D3DCCD1}">
                <a14:hiddenFill>
                  <a:solidFill>
                    <a:srgbClr val="FF0000"/>
                  </a:solidFill>
                </a14:hiddenFill>
              </a:ext>
              <a:ext uri="{91240B29-F687-4F45-9708-019B960494DF}">
                <a14:hiddenLine w="9525">
                  <a:solidFill>
                    <a:srgbClr val="FFFFFF"/>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3</xdr:row>
          <xdr:rowOff>25400</xdr:rowOff>
        </xdr:from>
        <xdr:to>
          <xdr:col>2</xdr:col>
          <xdr:colOff>25400</xdr:colOff>
          <xdr:row>3</xdr:row>
          <xdr:rowOff>215900</xdr:rowOff>
        </xdr:to>
        <xdr:sp macro="" textlink="">
          <xdr:nvSpPr>
            <xdr:cNvPr id="80947" name="DropDown_N_SoftwareOrUpg" hidden="1">
              <a:extLst>
                <a:ext uri="{63B3BB69-23CF-44E3-9099-C40C66FF867C}">
                  <a14:compatExt spid="_x0000_s80947"/>
                </a:ext>
                <a:ext uri="{FF2B5EF4-FFF2-40B4-BE49-F238E27FC236}">
                  <a16:creationId xmlns:a16="http://schemas.microsoft.com/office/drawing/2014/main" id="{00000000-0008-0000-0B00-000033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8</xdr:col>
      <xdr:colOff>12700</xdr:colOff>
      <xdr:row>23</xdr:row>
      <xdr:rowOff>92075</xdr:rowOff>
    </xdr:from>
    <xdr:to>
      <xdr:col>9</xdr:col>
      <xdr:colOff>4537</xdr:colOff>
      <xdr:row>26</xdr:row>
      <xdr:rowOff>170295</xdr:rowOff>
    </xdr:to>
    <xdr:pic>
      <xdr:nvPicPr>
        <xdr:cNvPr id="10" name="Picture 9">
          <a:extLst>
            <a:ext uri="{FF2B5EF4-FFF2-40B4-BE49-F238E27FC236}">
              <a16:creationId xmlns:a16="http://schemas.microsoft.com/office/drawing/2014/main" id="{00000000-0008-0000-0900-00000A000000}"/>
            </a:ext>
          </a:extLst>
        </xdr:cNvPr>
        <xdr:cNvPicPr>
          <a:picLocks noChangeAspect="1"/>
        </xdr:cNvPicPr>
      </xdr:nvPicPr>
      <xdr:blipFill rotWithShape="1">
        <a:blip xmlns:r="http://schemas.openxmlformats.org/officeDocument/2006/relationships" r:embed="rId1"/>
        <a:srcRect l="5072" r="5267"/>
        <a:stretch/>
      </xdr:blipFill>
      <xdr:spPr>
        <a:xfrm flipH="1">
          <a:off x="12700000" y="4978400"/>
          <a:ext cx="1077686" cy="678295"/>
        </a:xfrm>
        <a:prstGeom prst="rect">
          <a:avLst/>
        </a:prstGeom>
      </xdr:spPr>
    </xdr:pic>
    <xdr:clientData/>
  </xdr:twoCellAnchor>
  <xdr:twoCellAnchor editAs="oneCell">
    <xdr:from>
      <xdr:col>8</xdr:col>
      <xdr:colOff>39370</xdr:colOff>
      <xdr:row>28</xdr:row>
      <xdr:rowOff>139047</xdr:rowOff>
    </xdr:from>
    <xdr:to>
      <xdr:col>8</xdr:col>
      <xdr:colOff>1054950</xdr:colOff>
      <xdr:row>31</xdr:row>
      <xdr:rowOff>46007</xdr:rowOff>
    </xdr:to>
    <xdr:pic>
      <xdr:nvPicPr>
        <xdr:cNvPr id="11" name="Picture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2"/>
        <a:stretch/>
      </xdr:blipFill>
      <xdr:spPr>
        <a:xfrm>
          <a:off x="12726670" y="6025497"/>
          <a:ext cx="1015580" cy="50703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25400</xdr:colOff>
          <xdr:row>0</xdr:row>
          <xdr:rowOff>25400</xdr:rowOff>
        </xdr:from>
        <xdr:to>
          <xdr:col>5</xdr:col>
          <xdr:colOff>1092200</xdr:colOff>
          <xdr:row>0</xdr:row>
          <xdr:rowOff>228600</xdr:rowOff>
        </xdr:to>
        <xdr:sp macro="" textlink="">
          <xdr:nvSpPr>
            <xdr:cNvPr id="70657" name="Check Box 1" hidden="1">
              <a:extLst>
                <a:ext uri="{63B3BB69-23CF-44E3-9099-C40C66FF867C}">
                  <a14:compatExt spid="_x0000_s70657"/>
                </a:ext>
                <a:ext uri="{FF2B5EF4-FFF2-40B4-BE49-F238E27FC236}">
                  <a16:creationId xmlns:a16="http://schemas.microsoft.com/office/drawing/2014/main" id="{00000000-0008-0000-0C00-000001140100}"/>
                </a:ext>
              </a:extLst>
            </xdr:cNvPr>
            <xdr:cNvSpPr/>
          </xdr:nvSpPr>
          <xdr:spPr bwMode="auto">
            <a:xfrm>
              <a:off x="0" y="0"/>
              <a:ext cx="0" cy="0"/>
            </a:xfrm>
            <a:prstGeom prst="rect">
              <a:avLst/>
            </a:prstGeom>
            <a:noFill/>
            <a:ln>
              <a:noFill/>
            </a:ln>
            <a:extLst>
              <a:ext uri="{909E8E84-426E-40DD-AFC4-6F175D3DCCD1}">
                <a14:hiddenFill>
                  <a:solidFill>
                    <a:srgbClr val="FF0000"/>
                  </a:solidFill>
                </a14:hiddenFill>
              </a:ext>
              <a:ext uri="{91240B29-F687-4F45-9708-019B960494DF}">
                <a14:hiddenLine w="9525">
                  <a:solidFill>
                    <a:srgbClr val="FFFFFF"/>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xdr:twoCellAnchor>
    <xdr:from>
      <xdr:col>5</xdr:col>
      <xdr:colOff>283370</xdr:colOff>
      <xdr:row>0</xdr:row>
      <xdr:rowOff>0</xdr:rowOff>
    </xdr:from>
    <xdr:to>
      <xdr:col>5</xdr:col>
      <xdr:colOff>1143000</xdr:colOff>
      <xdr:row>0</xdr:row>
      <xdr:rowOff>195262</xdr:rowOff>
    </xdr:to>
    <xdr:sp macro="" textlink="" fLocksText="0">
      <xdr:nvSpPr>
        <xdr:cNvPr id="3" name="TextBox 2">
          <a:extLst>
            <a:ext uri="{FF2B5EF4-FFF2-40B4-BE49-F238E27FC236}">
              <a16:creationId xmlns:a16="http://schemas.microsoft.com/office/drawing/2014/main" id="{00000000-0008-0000-0A00-000003000000}"/>
            </a:ext>
          </a:extLst>
        </xdr:cNvPr>
        <xdr:cNvSpPr txBox="1"/>
      </xdr:nvSpPr>
      <xdr:spPr>
        <a:xfrm>
          <a:off x="9522620" y="0"/>
          <a:ext cx="802480" cy="195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i="1" u="sng">
              <a:solidFill>
                <a:srgbClr val="C00000"/>
              </a:solidFill>
            </a:rPr>
            <a:t>Instructions</a:t>
          </a:r>
        </a:p>
      </xdr:txBody>
    </xdr:sp>
    <xdr:clientData/>
  </xdr:twoCellAnchor>
  <mc:AlternateContent xmlns:mc="http://schemas.openxmlformats.org/markup-compatibility/2006">
    <mc:Choice xmlns:a14="http://schemas.microsoft.com/office/drawing/2010/main" Requires="a14">
      <xdr:twoCellAnchor editAs="oneCell">
        <xdr:from>
          <xdr:col>4</xdr:col>
          <xdr:colOff>76200</xdr:colOff>
          <xdr:row>2</xdr:row>
          <xdr:rowOff>215900</xdr:rowOff>
        </xdr:from>
        <xdr:to>
          <xdr:col>4</xdr:col>
          <xdr:colOff>3136900</xdr:colOff>
          <xdr:row>4</xdr:row>
          <xdr:rowOff>12700</xdr:rowOff>
        </xdr:to>
        <xdr:sp macro="" textlink="">
          <xdr:nvSpPr>
            <xdr:cNvPr id="70670" name="Drop Down 14" hidden="1">
              <a:extLst>
                <a:ext uri="{63B3BB69-23CF-44E3-9099-C40C66FF867C}">
                  <a14:compatExt spid="_x0000_s70670"/>
                </a:ext>
                <a:ext uri="{FF2B5EF4-FFF2-40B4-BE49-F238E27FC236}">
                  <a16:creationId xmlns:a16="http://schemas.microsoft.com/office/drawing/2014/main" id="{00000000-0008-0000-0C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13</xdr:row>
          <xdr:rowOff>101600</xdr:rowOff>
        </xdr:from>
        <xdr:to>
          <xdr:col>2</xdr:col>
          <xdr:colOff>25400</xdr:colOff>
          <xdr:row>13</xdr:row>
          <xdr:rowOff>292100</xdr:rowOff>
        </xdr:to>
        <xdr:sp macro="" textlink="">
          <xdr:nvSpPr>
            <xdr:cNvPr id="70674" name="Drop Down 18" hidden="1">
              <a:extLst>
                <a:ext uri="{63B3BB69-23CF-44E3-9099-C40C66FF867C}">
                  <a14:compatExt spid="_x0000_s70674"/>
                </a:ext>
                <a:ext uri="{FF2B5EF4-FFF2-40B4-BE49-F238E27FC236}">
                  <a16:creationId xmlns:a16="http://schemas.microsoft.com/office/drawing/2014/main" id="{00000000-0008-0000-0C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76200</xdr:colOff>
          <xdr:row>4</xdr:row>
          <xdr:rowOff>0</xdr:rowOff>
        </xdr:from>
        <xdr:to>
          <xdr:col>4</xdr:col>
          <xdr:colOff>1473200</xdr:colOff>
          <xdr:row>5</xdr:row>
          <xdr:rowOff>0</xdr:rowOff>
        </xdr:to>
        <xdr:sp macro="" textlink="">
          <xdr:nvSpPr>
            <xdr:cNvPr id="70675" name="DropDown_IndexClientVersion" hidden="1">
              <a:extLst>
                <a:ext uri="{63B3BB69-23CF-44E3-9099-C40C66FF867C}">
                  <a14:compatExt spid="_x0000_s70675"/>
                </a:ext>
                <a:ext uri="{FF2B5EF4-FFF2-40B4-BE49-F238E27FC236}">
                  <a16:creationId xmlns:a16="http://schemas.microsoft.com/office/drawing/2014/main" id="{00000000-0008-0000-0C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21</xdr:row>
          <xdr:rowOff>25400</xdr:rowOff>
        </xdr:from>
        <xdr:to>
          <xdr:col>5</xdr:col>
          <xdr:colOff>749300</xdr:colOff>
          <xdr:row>21</xdr:row>
          <xdr:rowOff>177800</xdr:rowOff>
        </xdr:to>
        <xdr:sp macro="" textlink="">
          <xdr:nvSpPr>
            <xdr:cNvPr id="70681" name="Drop Down 25" hidden="1">
              <a:extLst>
                <a:ext uri="{63B3BB69-23CF-44E3-9099-C40C66FF867C}">
                  <a14:compatExt spid="_x0000_s70681"/>
                </a:ext>
                <a:ext uri="{FF2B5EF4-FFF2-40B4-BE49-F238E27FC236}">
                  <a16:creationId xmlns:a16="http://schemas.microsoft.com/office/drawing/2014/main" id="{00000000-0008-0000-0C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23</xdr:row>
          <xdr:rowOff>25400</xdr:rowOff>
        </xdr:from>
        <xdr:to>
          <xdr:col>5</xdr:col>
          <xdr:colOff>749300</xdr:colOff>
          <xdr:row>23</xdr:row>
          <xdr:rowOff>177800</xdr:rowOff>
        </xdr:to>
        <xdr:sp macro="" textlink="">
          <xdr:nvSpPr>
            <xdr:cNvPr id="70682" name="Drop Down 26" hidden="1">
              <a:extLst>
                <a:ext uri="{63B3BB69-23CF-44E3-9099-C40C66FF867C}">
                  <a14:compatExt spid="_x0000_s70682"/>
                </a:ext>
                <a:ext uri="{FF2B5EF4-FFF2-40B4-BE49-F238E27FC236}">
                  <a16:creationId xmlns:a16="http://schemas.microsoft.com/office/drawing/2014/main" id="{00000000-0008-0000-0C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24</xdr:row>
          <xdr:rowOff>25400</xdr:rowOff>
        </xdr:from>
        <xdr:to>
          <xdr:col>5</xdr:col>
          <xdr:colOff>749300</xdr:colOff>
          <xdr:row>24</xdr:row>
          <xdr:rowOff>177800</xdr:rowOff>
        </xdr:to>
        <xdr:sp macro="" textlink="">
          <xdr:nvSpPr>
            <xdr:cNvPr id="70683" name="Drop Down 27" hidden="1">
              <a:extLst>
                <a:ext uri="{63B3BB69-23CF-44E3-9099-C40C66FF867C}">
                  <a14:compatExt spid="_x0000_s70683"/>
                </a:ext>
                <a:ext uri="{FF2B5EF4-FFF2-40B4-BE49-F238E27FC236}">
                  <a16:creationId xmlns:a16="http://schemas.microsoft.com/office/drawing/2014/main" id="{00000000-0008-0000-0C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114300</xdr:colOff>
          <xdr:row>8</xdr:row>
          <xdr:rowOff>12700</xdr:rowOff>
        </xdr:from>
        <xdr:to>
          <xdr:col>9</xdr:col>
          <xdr:colOff>863600</xdr:colOff>
          <xdr:row>8</xdr:row>
          <xdr:rowOff>215900</xdr:rowOff>
        </xdr:to>
        <xdr:sp macro="" textlink="">
          <xdr:nvSpPr>
            <xdr:cNvPr id="70684" name="Drop Down 28" hidden="1">
              <a:extLst>
                <a:ext uri="{63B3BB69-23CF-44E3-9099-C40C66FF867C}">
                  <a14:compatExt spid="_x0000_s70684"/>
                </a:ext>
                <a:ext uri="{FF2B5EF4-FFF2-40B4-BE49-F238E27FC236}">
                  <a16:creationId xmlns:a16="http://schemas.microsoft.com/office/drawing/2014/main" id="{00000000-0008-0000-0C00-00001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25</xdr:row>
          <xdr:rowOff>25400</xdr:rowOff>
        </xdr:from>
        <xdr:to>
          <xdr:col>5</xdr:col>
          <xdr:colOff>749300</xdr:colOff>
          <xdr:row>25</xdr:row>
          <xdr:rowOff>177800</xdr:rowOff>
        </xdr:to>
        <xdr:sp macro="" textlink="">
          <xdr:nvSpPr>
            <xdr:cNvPr id="70685" name="Drop Down 29" hidden="1">
              <a:extLst>
                <a:ext uri="{63B3BB69-23CF-44E3-9099-C40C66FF867C}">
                  <a14:compatExt spid="_x0000_s70685"/>
                </a:ext>
                <a:ext uri="{FF2B5EF4-FFF2-40B4-BE49-F238E27FC236}">
                  <a16:creationId xmlns:a16="http://schemas.microsoft.com/office/drawing/2014/main" id="{00000000-0008-0000-0C00-00001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101600</xdr:colOff>
          <xdr:row>13</xdr:row>
          <xdr:rowOff>355600</xdr:rowOff>
        </xdr:from>
        <xdr:to>
          <xdr:col>2</xdr:col>
          <xdr:colOff>711200</xdr:colOff>
          <xdr:row>15</xdr:row>
          <xdr:rowOff>25400</xdr:rowOff>
        </xdr:to>
        <xdr:sp macro="" textlink="">
          <xdr:nvSpPr>
            <xdr:cNvPr id="70693" name="ScannerCheckbox" hidden="1">
              <a:extLst>
                <a:ext uri="{63B3BB69-23CF-44E3-9099-C40C66FF867C}">
                  <a14:compatExt spid="_x0000_s70693"/>
                </a:ext>
                <a:ext uri="{FF2B5EF4-FFF2-40B4-BE49-F238E27FC236}">
                  <a16:creationId xmlns:a16="http://schemas.microsoft.com/office/drawing/2014/main" id="{00000000-0008-0000-0C00-0000251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736600</xdr:colOff>
          <xdr:row>14</xdr:row>
          <xdr:rowOff>0</xdr:rowOff>
        </xdr:from>
        <xdr:to>
          <xdr:col>2</xdr:col>
          <xdr:colOff>2006600</xdr:colOff>
          <xdr:row>15</xdr:row>
          <xdr:rowOff>25400</xdr:rowOff>
        </xdr:to>
        <xdr:sp macro="" textlink="">
          <xdr:nvSpPr>
            <xdr:cNvPr id="70695" name="DropDown_IndexScanner" hidden="1">
              <a:extLst>
                <a:ext uri="{63B3BB69-23CF-44E3-9099-C40C66FF867C}">
                  <a14:compatExt spid="_x0000_s70695"/>
                </a:ext>
                <a:ext uri="{FF2B5EF4-FFF2-40B4-BE49-F238E27FC236}">
                  <a16:creationId xmlns:a16="http://schemas.microsoft.com/office/drawing/2014/main" id="{00000000-0008-0000-0C00-00002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101600</xdr:colOff>
          <xdr:row>19</xdr:row>
          <xdr:rowOff>165100</xdr:rowOff>
        </xdr:from>
        <xdr:to>
          <xdr:col>2</xdr:col>
          <xdr:colOff>2870200</xdr:colOff>
          <xdr:row>21</xdr:row>
          <xdr:rowOff>25400</xdr:rowOff>
        </xdr:to>
        <xdr:sp macro="" textlink="">
          <xdr:nvSpPr>
            <xdr:cNvPr id="70696" name="PosiOrBlueBG_Checkbox" hidden="1">
              <a:extLst>
                <a:ext uri="{63B3BB69-23CF-44E3-9099-C40C66FF867C}">
                  <a14:compatExt spid="_x0000_s70696"/>
                </a:ext>
                <a:ext uri="{FF2B5EF4-FFF2-40B4-BE49-F238E27FC236}">
                  <a16:creationId xmlns:a16="http://schemas.microsoft.com/office/drawing/2014/main" id="{00000000-0008-0000-0C00-0000281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88900</xdr:colOff>
          <xdr:row>4</xdr:row>
          <xdr:rowOff>12700</xdr:rowOff>
        </xdr:from>
        <xdr:to>
          <xdr:col>2</xdr:col>
          <xdr:colOff>2984500</xdr:colOff>
          <xdr:row>4</xdr:row>
          <xdr:rowOff>215900</xdr:rowOff>
        </xdr:to>
        <xdr:sp macro="" textlink="">
          <xdr:nvSpPr>
            <xdr:cNvPr id="70698" name="ChkB_UpgradeUpdate" hidden="1">
              <a:extLst>
                <a:ext uri="{63B3BB69-23CF-44E3-9099-C40C66FF867C}">
                  <a14:compatExt spid="_x0000_s70698"/>
                </a:ext>
                <a:ext uri="{FF2B5EF4-FFF2-40B4-BE49-F238E27FC236}">
                  <a16:creationId xmlns:a16="http://schemas.microsoft.com/office/drawing/2014/main" id="{00000000-0008-0000-0C00-00002A140100}"/>
                </a:ext>
              </a:extLst>
            </xdr:cNvPr>
            <xdr:cNvSpPr/>
          </xdr:nvSpPr>
          <xdr:spPr bwMode="auto">
            <a:xfrm>
              <a:off x="0" y="0"/>
              <a:ext cx="0" cy="0"/>
            </a:xfrm>
            <a:prstGeom prst="rect">
              <a:avLst/>
            </a:prstGeom>
            <a:noFill/>
            <a:ln>
              <a:noFill/>
            </a:ln>
            <a:extLst>
              <a:ext uri="{909E8E84-426E-40DD-AFC4-6F175D3DCCD1}">
                <a14:hiddenFill>
                  <a:solidFill>
                    <a:srgbClr val="FF0000"/>
                  </a:solidFill>
                </a14:hiddenFill>
              </a:ext>
              <a:ext uri="{91240B29-F687-4F45-9708-019B960494DF}">
                <a14:hiddenLine w="9525">
                  <a:solidFill>
                    <a:srgbClr val="FFFFFF"/>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25400</xdr:rowOff>
        </xdr:from>
        <xdr:to>
          <xdr:col>2</xdr:col>
          <xdr:colOff>25400</xdr:colOff>
          <xdr:row>3</xdr:row>
          <xdr:rowOff>215900</xdr:rowOff>
        </xdr:to>
        <xdr:sp macro="" textlink="">
          <xdr:nvSpPr>
            <xdr:cNvPr id="70699" name="DropDown_N_SoftwareOrUpg" hidden="1">
              <a:extLst>
                <a:ext uri="{63B3BB69-23CF-44E3-9099-C40C66FF867C}">
                  <a14:compatExt spid="_x0000_s70699"/>
                </a:ext>
                <a:ext uri="{FF2B5EF4-FFF2-40B4-BE49-F238E27FC236}">
                  <a16:creationId xmlns:a16="http://schemas.microsoft.com/office/drawing/2014/main" id="{00000000-0008-0000-0C00-00002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25400</xdr:colOff>
          <xdr:row>0</xdr:row>
          <xdr:rowOff>25400</xdr:rowOff>
        </xdr:from>
        <xdr:to>
          <xdr:col>5</xdr:col>
          <xdr:colOff>1092200</xdr:colOff>
          <xdr:row>0</xdr:row>
          <xdr:rowOff>228600</xdr:rowOff>
        </xdr:to>
        <xdr:sp macro="" textlink="">
          <xdr:nvSpPr>
            <xdr:cNvPr id="88065" name="Check Box 1" hidden="1">
              <a:extLst>
                <a:ext uri="{63B3BB69-23CF-44E3-9099-C40C66FF867C}">
                  <a14:compatExt spid="_x0000_s88065"/>
                </a:ext>
                <a:ext uri="{FF2B5EF4-FFF2-40B4-BE49-F238E27FC236}">
                  <a16:creationId xmlns:a16="http://schemas.microsoft.com/office/drawing/2014/main" id="{00000000-0008-0000-0D00-000001580100}"/>
                </a:ext>
              </a:extLst>
            </xdr:cNvPr>
            <xdr:cNvSpPr/>
          </xdr:nvSpPr>
          <xdr:spPr bwMode="auto">
            <a:xfrm>
              <a:off x="0" y="0"/>
              <a:ext cx="0" cy="0"/>
            </a:xfrm>
            <a:prstGeom prst="rect">
              <a:avLst/>
            </a:prstGeom>
            <a:noFill/>
            <a:ln>
              <a:noFill/>
            </a:ln>
            <a:extLst>
              <a:ext uri="{909E8E84-426E-40DD-AFC4-6F175D3DCCD1}">
                <a14:hiddenFill>
                  <a:solidFill>
                    <a:srgbClr val="FF0000"/>
                  </a:solidFill>
                </a14:hiddenFill>
              </a:ext>
              <a:ext uri="{91240B29-F687-4F45-9708-019B960494DF}">
                <a14:hiddenLine w="9525">
                  <a:solidFill>
                    <a:srgbClr val="FFFFFF"/>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xdr:twoCellAnchor>
    <xdr:from>
      <xdr:col>5</xdr:col>
      <xdr:colOff>283370</xdr:colOff>
      <xdr:row>0</xdr:row>
      <xdr:rowOff>0</xdr:rowOff>
    </xdr:from>
    <xdr:to>
      <xdr:col>5</xdr:col>
      <xdr:colOff>1143000</xdr:colOff>
      <xdr:row>0</xdr:row>
      <xdr:rowOff>195262</xdr:rowOff>
    </xdr:to>
    <xdr:sp macro="" textlink="" fLocksText="0">
      <xdr:nvSpPr>
        <xdr:cNvPr id="3" name="TextBox 2">
          <a:extLst>
            <a:ext uri="{FF2B5EF4-FFF2-40B4-BE49-F238E27FC236}">
              <a16:creationId xmlns:a16="http://schemas.microsoft.com/office/drawing/2014/main" id="{00000000-0008-0000-0B00-000003000000}"/>
            </a:ext>
          </a:extLst>
        </xdr:cNvPr>
        <xdr:cNvSpPr txBox="1"/>
      </xdr:nvSpPr>
      <xdr:spPr>
        <a:xfrm>
          <a:off x="9522620" y="0"/>
          <a:ext cx="802480" cy="195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i="1" u="sng">
              <a:solidFill>
                <a:srgbClr val="C00000"/>
              </a:solidFill>
            </a:rPr>
            <a:t>Instructions</a:t>
          </a:r>
        </a:p>
      </xdr:txBody>
    </xdr:sp>
    <xdr:clientData/>
  </xdr:twoCellAnchor>
  <mc:AlternateContent xmlns:mc="http://schemas.openxmlformats.org/markup-compatibility/2006">
    <mc:Choice xmlns:a14="http://schemas.microsoft.com/office/drawing/2010/main" Requires="a14">
      <xdr:twoCellAnchor editAs="oneCell">
        <xdr:from>
          <xdr:col>4</xdr:col>
          <xdr:colOff>76200</xdr:colOff>
          <xdr:row>2</xdr:row>
          <xdr:rowOff>215900</xdr:rowOff>
        </xdr:from>
        <xdr:to>
          <xdr:col>4</xdr:col>
          <xdr:colOff>3136900</xdr:colOff>
          <xdr:row>4</xdr:row>
          <xdr:rowOff>12700</xdr:rowOff>
        </xdr:to>
        <xdr:sp macro="" textlink="">
          <xdr:nvSpPr>
            <xdr:cNvPr id="88076" name="Drop Down 12" hidden="1">
              <a:extLst>
                <a:ext uri="{63B3BB69-23CF-44E3-9099-C40C66FF867C}">
                  <a14:compatExt spid="_x0000_s88076"/>
                </a:ext>
                <a:ext uri="{FF2B5EF4-FFF2-40B4-BE49-F238E27FC236}">
                  <a16:creationId xmlns:a16="http://schemas.microsoft.com/office/drawing/2014/main" id="{00000000-0008-0000-0D00-00000C5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13</xdr:row>
          <xdr:rowOff>101600</xdr:rowOff>
        </xdr:from>
        <xdr:to>
          <xdr:col>2</xdr:col>
          <xdr:colOff>25400</xdr:colOff>
          <xdr:row>13</xdr:row>
          <xdr:rowOff>292100</xdr:rowOff>
        </xdr:to>
        <xdr:sp macro="" textlink="">
          <xdr:nvSpPr>
            <xdr:cNvPr id="88080" name="Drop Down 16" hidden="1">
              <a:extLst>
                <a:ext uri="{63B3BB69-23CF-44E3-9099-C40C66FF867C}">
                  <a14:compatExt spid="_x0000_s88080"/>
                </a:ext>
                <a:ext uri="{FF2B5EF4-FFF2-40B4-BE49-F238E27FC236}">
                  <a16:creationId xmlns:a16="http://schemas.microsoft.com/office/drawing/2014/main" id="{00000000-0008-0000-0D00-0000105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21</xdr:row>
          <xdr:rowOff>25400</xdr:rowOff>
        </xdr:from>
        <xdr:to>
          <xdr:col>5</xdr:col>
          <xdr:colOff>749300</xdr:colOff>
          <xdr:row>21</xdr:row>
          <xdr:rowOff>177800</xdr:rowOff>
        </xdr:to>
        <xdr:sp macro="" textlink="">
          <xdr:nvSpPr>
            <xdr:cNvPr id="88085" name="Drop Down 21" hidden="1">
              <a:extLst>
                <a:ext uri="{63B3BB69-23CF-44E3-9099-C40C66FF867C}">
                  <a14:compatExt spid="_x0000_s88085"/>
                </a:ext>
                <a:ext uri="{FF2B5EF4-FFF2-40B4-BE49-F238E27FC236}">
                  <a16:creationId xmlns:a16="http://schemas.microsoft.com/office/drawing/2014/main" id="{00000000-0008-0000-0D00-0000155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23</xdr:row>
          <xdr:rowOff>25400</xdr:rowOff>
        </xdr:from>
        <xdr:to>
          <xdr:col>5</xdr:col>
          <xdr:colOff>749300</xdr:colOff>
          <xdr:row>23</xdr:row>
          <xdr:rowOff>177800</xdr:rowOff>
        </xdr:to>
        <xdr:sp macro="" textlink="">
          <xdr:nvSpPr>
            <xdr:cNvPr id="88087" name="Drop Down 23" hidden="1">
              <a:extLst>
                <a:ext uri="{63B3BB69-23CF-44E3-9099-C40C66FF867C}">
                  <a14:compatExt spid="_x0000_s88087"/>
                </a:ext>
                <a:ext uri="{FF2B5EF4-FFF2-40B4-BE49-F238E27FC236}">
                  <a16:creationId xmlns:a16="http://schemas.microsoft.com/office/drawing/2014/main" id="{00000000-0008-0000-0D00-0000175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24</xdr:row>
          <xdr:rowOff>25400</xdr:rowOff>
        </xdr:from>
        <xdr:to>
          <xdr:col>5</xdr:col>
          <xdr:colOff>749300</xdr:colOff>
          <xdr:row>24</xdr:row>
          <xdr:rowOff>177800</xdr:rowOff>
        </xdr:to>
        <xdr:sp macro="" textlink="">
          <xdr:nvSpPr>
            <xdr:cNvPr id="88088" name="Drop Down 24" hidden="1">
              <a:extLst>
                <a:ext uri="{63B3BB69-23CF-44E3-9099-C40C66FF867C}">
                  <a14:compatExt spid="_x0000_s88088"/>
                </a:ext>
                <a:ext uri="{FF2B5EF4-FFF2-40B4-BE49-F238E27FC236}">
                  <a16:creationId xmlns:a16="http://schemas.microsoft.com/office/drawing/2014/main" id="{00000000-0008-0000-0D00-0000185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114300</xdr:colOff>
          <xdr:row>8</xdr:row>
          <xdr:rowOff>25400</xdr:rowOff>
        </xdr:from>
        <xdr:to>
          <xdr:col>9</xdr:col>
          <xdr:colOff>863600</xdr:colOff>
          <xdr:row>8</xdr:row>
          <xdr:rowOff>203200</xdr:rowOff>
        </xdr:to>
        <xdr:sp macro="" textlink="">
          <xdr:nvSpPr>
            <xdr:cNvPr id="88089" name="Drop Down 25" hidden="1">
              <a:extLst>
                <a:ext uri="{63B3BB69-23CF-44E3-9099-C40C66FF867C}">
                  <a14:compatExt spid="_x0000_s88089"/>
                </a:ext>
                <a:ext uri="{FF2B5EF4-FFF2-40B4-BE49-F238E27FC236}">
                  <a16:creationId xmlns:a16="http://schemas.microsoft.com/office/drawing/2014/main" id="{00000000-0008-0000-0D00-0000195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25</xdr:row>
          <xdr:rowOff>25400</xdr:rowOff>
        </xdr:from>
        <xdr:to>
          <xdr:col>5</xdr:col>
          <xdr:colOff>749300</xdr:colOff>
          <xdr:row>25</xdr:row>
          <xdr:rowOff>177800</xdr:rowOff>
        </xdr:to>
        <xdr:sp macro="" textlink="">
          <xdr:nvSpPr>
            <xdr:cNvPr id="88090" name="Drop Down 26" hidden="1">
              <a:extLst>
                <a:ext uri="{63B3BB69-23CF-44E3-9099-C40C66FF867C}">
                  <a14:compatExt spid="_x0000_s88090"/>
                </a:ext>
                <a:ext uri="{FF2B5EF4-FFF2-40B4-BE49-F238E27FC236}">
                  <a16:creationId xmlns:a16="http://schemas.microsoft.com/office/drawing/2014/main" id="{00000000-0008-0000-0D00-00001A5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101600</xdr:colOff>
          <xdr:row>13</xdr:row>
          <xdr:rowOff>355600</xdr:rowOff>
        </xdr:from>
        <xdr:to>
          <xdr:col>2</xdr:col>
          <xdr:colOff>723900</xdr:colOff>
          <xdr:row>15</xdr:row>
          <xdr:rowOff>25400</xdr:rowOff>
        </xdr:to>
        <xdr:sp macro="" textlink="">
          <xdr:nvSpPr>
            <xdr:cNvPr id="88091" name="ScannerCheckbox" hidden="1">
              <a:extLst>
                <a:ext uri="{63B3BB69-23CF-44E3-9099-C40C66FF867C}">
                  <a14:compatExt spid="_x0000_s88091"/>
                </a:ext>
                <a:ext uri="{FF2B5EF4-FFF2-40B4-BE49-F238E27FC236}">
                  <a16:creationId xmlns:a16="http://schemas.microsoft.com/office/drawing/2014/main" id="{00000000-0008-0000-0D00-00001B5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736600</xdr:colOff>
          <xdr:row>14</xdr:row>
          <xdr:rowOff>0</xdr:rowOff>
        </xdr:from>
        <xdr:to>
          <xdr:col>2</xdr:col>
          <xdr:colOff>2006600</xdr:colOff>
          <xdr:row>15</xdr:row>
          <xdr:rowOff>25400</xdr:rowOff>
        </xdr:to>
        <xdr:sp macro="" textlink="">
          <xdr:nvSpPr>
            <xdr:cNvPr id="88093" name="DropDown_IndexScanner" hidden="1">
              <a:extLst>
                <a:ext uri="{63B3BB69-23CF-44E3-9099-C40C66FF867C}">
                  <a14:compatExt spid="_x0000_s88093"/>
                </a:ext>
                <a:ext uri="{FF2B5EF4-FFF2-40B4-BE49-F238E27FC236}">
                  <a16:creationId xmlns:a16="http://schemas.microsoft.com/office/drawing/2014/main" id="{00000000-0008-0000-0D00-00001D5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101600</xdr:colOff>
          <xdr:row>19</xdr:row>
          <xdr:rowOff>165100</xdr:rowOff>
        </xdr:from>
        <xdr:to>
          <xdr:col>2</xdr:col>
          <xdr:colOff>2870200</xdr:colOff>
          <xdr:row>21</xdr:row>
          <xdr:rowOff>25400</xdr:rowOff>
        </xdr:to>
        <xdr:sp macro="" textlink="">
          <xdr:nvSpPr>
            <xdr:cNvPr id="88094" name="PosiOrBlueBG_Checkbox" hidden="1">
              <a:extLst>
                <a:ext uri="{63B3BB69-23CF-44E3-9099-C40C66FF867C}">
                  <a14:compatExt spid="_x0000_s88094"/>
                </a:ext>
                <a:ext uri="{FF2B5EF4-FFF2-40B4-BE49-F238E27FC236}">
                  <a16:creationId xmlns:a16="http://schemas.microsoft.com/office/drawing/2014/main" id="{00000000-0008-0000-0D00-00001E5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76200</xdr:colOff>
          <xdr:row>4</xdr:row>
          <xdr:rowOff>0</xdr:rowOff>
        </xdr:from>
        <xdr:to>
          <xdr:col>4</xdr:col>
          <xdr:colOff>1473200</xdr:colOff>
          <xdr:row>5</xdr:row>
          <xdr:rowOff>0</xdr:rowOff>
        </xdr:to>
        <xdr:sp macro="" textlink="">
          <xdr:nvSpPr>
            <xdr:cNvPr id="88095" name="DropDown_IndexClientVersion" hidden="1">
              <a:extLst>
                <a:ext uri="{63B3BB69-23CF-44E3-9099-C40C66FF867C}">
                  <a14:compatExt spid="_x0000_s88095"/>
                </a:ext>
                <a:ext uri="{FF2B5EF4-FFF2-40B4-BE49-F238E27FC236}">
                  <a16:creationId xmlns:a16="http://schemas.microsoft.com/office/drawing/2014/main" id="{00000000-0008-0000-0D00-00001F5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88900</xdr:colOff>
          <xdr:row>4</xdr:row>
          <xdr:rowOff>12700</xdr:rowOff>
        </xdr:from>
        <xdr:to>
          <xdr:col>2</xdr:col>
          <xdr:colOff>2984500</xdr:colOff>
          <xdr:row>4</xdr:row>
          <xdr:rowOff>215900</xdr:rowOff>
        </xdr:to>
        <xdr:sp macro="" textlink="">
          <xdr:nvSpPr>
            <xdr:cNvPr id="88099" name="ChkB_UpgradeUpdate" hidden="1">
              <a:extLst>
                <a:ext uri="{63B3BB69-23CF-44E3-9099-C40C66FF867C}">
                  <a14:compatExt spid="_x0000_s88099"/>
                </a:ext>
                <a:ext uri="{FF2B5EF4-FFF2-40B4-BE49-F238E27FC236}">
                  <a16:creationId xmlns:a16="http://schemas.microsoft.com/office/drawing/2014/main" id="{00000000-0008-0000-0D00-000023580100}"/>
                </a:ext>
              </a:extLst>
            </xdr:cNvPr>
            <xdr:cNvSpPr/>
          </xdr:nvSpPr>
          <xdr:spPr bwMode="auto">
            <a:xfrm>
              <a:off x="0" y="0"/>
              <a:ext cx="0" cy="0"/>
            </a:xfrm>
            <a:prstGeom prst="rect">
              <a:avLst/>
            </a:prstGeom>
            <a:noFill/>
            <a:ln>
              <a:noFill/>
            </a:ln>
            <a:extLst>
              <a:ext uri="{909E8E84-426E-40DD-AFC4-6F175D3DCCD1}">
                <a14:hiddenFill>
                  <a:solidFill>
                    <a:srgbClr val="FF0000"/>
                  </a:solidFill>
                </a14:hiddenFill>
              </a:ext>
              <a:ext uri="{91240B29-F687-4F45-9708-019B960494DF}">
                <a14:hiddenLine w="9525">
                  <a:solidFill>
                    <a:srgbClr val="FFFFFF"/>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25400</xdr:rowOff>
        </xdr:from>
        <xdr:to>
          <xdr:col>2</xdr:col>
          <xdr:colOff>25400</xdr:colOff>
          <xdr:row>3</xdr:row>
          <xdr:rowOff>215900</xdr:rowOff>
        </xdr:to>
        <xdr:sp macro="" textlink="">
          <xdr:nvSpPr>
            <xdr:cNvPr id="88100" name="DropDown_N_SoftwareOrUpg" hidden="1">
              <a:extLst>
                <a:ext uri="{63B3BB69-23CF-44E3-9099-C40C66FF867C}">
                  <a14:compatExt spid="_x0000_s88100"/>
                </a:ext>
                <a:ext uri="{FF2B5EF4-FFF2-40B4-BE49-F238E27FC236}">
                  <a16:creationId xmlns:a16="http://schemas.microsoft.com/office/drawing/2014/main" id="{00000000-0008-0000-0D00-0000245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13</xdr:row>
          <xdr:rowOff>101600</xdr:rowOff>
        </xdr:from>
        <xdr:to>
          <xdr:col>2</xdr:col>
          <xdr:colOff>25400</xdr:colOff>
          <xdr:row>13</xdr:row>
          <xdr:rowOff>292100</xdr:rowOff>
        </xdr:to>
        <xdr:sp macro="" textlink="">
          <xdr:nvSpPr>
            <xdr:cNvPr id="1140" name="Drop Down 116" hidden="1">
              <a:extLst>
                <a:ext uri="{63B3BB69-23CF-44E3-9099-C40C66FF867C}">
                  <a14:compatExt spid="_x0000_s1140"/>
                </a:ext>
                <a:ext uri="{FF2B5EF4-FFF2-40B4-BE49-F238E27FC236}">
                  <a16:creationId xmlns:a16="http://schemas.microsoft.com/office/drawing/2014/main" id="{00000000-0008-0000-0E00-00007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76200</xdr:colOff>
          <xdr:row>4</xdr:row>
          <xdr:rowOff>0</xdr:rowOff>
        </xdr:from>
        <xdr:to>
          <xdr:col>4</xdr:col>
          <xdr:colOff>1473200</xdr:colOff>
          <xdr:row>5</xdr:row>
          <xdr:rowOff>0</xdr:rowOff>
        </xdr:to>
        <xdr:sp macro="" textlink="">
          <xdr:nvSpPr>
            <xdr:cNvPr id="1141" name="DropDown_IndexClientVersion" hidden="1">
              <a:extLst>
                <a:ext uri="{63B3BB69-23CF-44E3-9099-C40C66FF867C}">
                  <a14:compatExt spid="_x0000_s1141"/>
                </a:ext>
                <a:ext uri="{FF2B5EF4-FFF2-40B4-BE49-F238E27FC236}">
                  <a16:creationId xmlns:a16="http://schemas.microsoft.com/office/drawing/2014/main" id="{00000000-0008-0000-0E00-00007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25400</xdr:colOff>
          <xdr:row>0</xdr:row>
          <xdr:rowOff>25400</xdr:rowOff>
        </xdr:from>
        <xdr:to>
          <xdr:col>5</xdr:col>
          <xdr:colOff>1092200</xdr:colOff>
          <xdr:row>0</xdr:row>
          <xdr:rowOff>228600</xdr:rowOff>
        </xdr:to>
        <xdr:sp macro="" textlink="">
          <xdr:nvSpPr>
            <xdr:cNvPr id="1144" name="CheckBoxDetails" hidden="1">
              <a:extLst>
                <a:ext uri="{63B3BB69-23CF-44E3-9099-C40C66FF867C}">
                  <a14:compatExt spid="_x0000_s1144"/>
                </a:ext>
                <a:ext uri="{FF2B5EF4-FFF2-40B4-BE49-F238E27FC236}">
                  <a16:creationId xmlns:a16="http://schemas.microsoft.com/office/drawing/2014/main" id="{00000000-0008-0000-0E00-000078040000}"/>
                </a:ext>
              </a:extLst>
            </xdr:cNvPr>
            <xdr:cNvSpPr/>
          </xdr:nvSpPr>
          <xdr:spPr bwMode="auto">
            <a:xfrm>
              <a:off x="0" y="0"/>
              <a:ext cx="0" cy="0"/>
            </a:xfrm>
            <a:prstGeom prst="rect">
              <a:avLst/>
            </a:prstGeom>
            <a:noFill/>
            <a:ln>
              <a:noFill/>
            </a:ln>
            <a:extLst>
              <a:ext uri="{909E8E84-426E-40DD-AFC4-6F175D3DCCD1}">
                <a14:hiddenFill>
                  <a:solidFill>
                    <a:srgbClr val="FF0000"/>
                  </a:solidFill>
                </a14:hiddenFill>
              </a:ext>
              <a:ext uri="{91240B29-F687-4F45-9708-019B960494DF}">
                <a14:hiddenLine w="9525">
                  <a:solidFill>
                    <a:srgbClr val="FFFFFF"/>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xdr:twoCellAnchor>
    <xdr:from>
      <xdr:col>5</xdr:col>
      <xdr:colOff>283370</xdr:colOff>
      <xdr:row>0</xdr:row>
      <xdr:rowOff>0</xdr:rowOff>
    </xdr:from>
    <xdr:to>
      <xdr:col>5</xdr:col>
      <xdr:colOff>1143000</xdr:colOff>
      <xdr:row>0</xdr:row>
      <xdr:rowOff>195262</xdr:rowOff>
    </xdr:to>
    <xdr:sp macro="" textlink="" fLocksText="0">
      <xdr:nvSpPr>
        <xdr:cNvPr id="25" name="TextBox 24">
          <a:extLst>
            <a:ext uri="{FF2B5EF4-FFF2-40B4-BE49-F238E27FC236}">
              <a16:creationId xmlns:a16="http://schemas.microsoft.com/office/drawing/2014/main" id="{00000000-0008-0000-0C00-000019000000}"/>
            </a:ext>
          </a:extLst>
        </xdr:cNvPr>
        <xdr:cNvSpPr txBox="1"/>
      </xdr:nvSpPr>
      <xdr:spPr>
        <a:xfrm>
          <a:off x="9522620" y="0"/>
          <a:ext cx="802480" cy="195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i="1" u="sng">
              <a:solidFill>
                <a:srgbClr val="C00000"/>
              </a:solidFill>
            </a:rPr>
            <a:t>Instructions</a:t>
          </a:r>
        </a:p>
      </xdr:txBody>
    </xdr:sp>
    <xdr:clientData/>
  </xdr:twoCellAnchor>
  <mc:AlternateContent xmlns:mc="http://schemas.openxmlformats.org/markup-compatibility/2006">
    <mc:Choice xmlns:a14="http://schemas.microsoft.com/office/drawing/2010/main" Requires="a14">
      <xdr:twoCellAnchor editAs="oneCell">
        <xdr:from>
          <xdr:col>4</xdr:col>
          <xdr:colOff>76200</xdr:colOff>
          <xdr:row>2</xdr:row>
          <xdr:rowOff>215900</xdr:rowOff>
        </xdr:from>
        <xdr:to>
          <xdr:col>4</xdr:col>
          <xdr:colOff>3136900</xdr:colOff>
          <xdr:row>4</xdr:row>
          <xdr:rowOff>12700</xdr:rowOff>
        </xdr:to>
        <xdr:sp macro="" textlink="">
          <xdr:nvSpPr>
            <xdr:cNvPr id="1150" name="Drop Down 126" hidden="1">
              <a:extLst>
                <a:ext uri="{63B3BB69-23CF-44E3-9099-C40C66FF867C}">
                  <a14:compatExt spid="_x0000_s1150"/>
                </a:ext>
                <a:ext uri="{FF2B5EF4-FFF2-40B4-BE49-F238E27FC236}">
                  <a16:creationId xmlns:a16="http://schemas.microsoft.com/office/drawing/2014/main" id="{00000000-0008-0000-0E00-00007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20</xdr:row>
          <xdr:rowOff>25400</xdr:rowOff>
        </xdr:from>
        <xdr:to>
          <xdr:col>5</xdr:col>
          <xdr:colOff>749300</xdr:colOff>
          <xdr:row>20</xdr:row>
          <xdr:rowOff>177800</xdr:rowOff>
        </xdr:to>
        <xdr:sp macro="" textlink="">
          <xdr:nvSpPr>
            <xdr:cNvPr id="1151" name="Drop Down 127" hidden="1">
              <a:extLst>
                <a:ext uri="{63B3BB69-23CF-44E3-9099-C40C66FF867C}">
                  <a14:compatExt spid="_x0000_s1151"/>
                </a:ext>
                <a:ext uri="{FF2B5EF4-FFF2-40B4-BE49-F238E27FC236}">
                  <a16:creationId xmlns:a16="http://schemas.microsoft.com/office/drawing/2014/main" id="{00000000-0008-0000-0E00-00007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22</xdr:row>
          <xdr:rowOff>25400</xdr:rowOff>
        </xdr:from>
        <xdr:to>
          <xdr:col>5</xdr:col>
          <xdr:colOff>749300</xdr:colOff>
          <xdr:row>22</xdr:row>
          <xdr:rowOff>177800</xdr:rowOff>
        </xdr:to>
        <xdr:sp macro="" textlink="">
          <xdr:nvSpPr>
            <xdr:cNvPr id="1153" name="Drop Down 129" hidden="1">
              <a:extLst>
                <a:ext uri="{63B3BB69-23CF-44E3-9099-C40C66FF867C}">
                  <a14:compatExt spid="_x0000_s1153"/>
                </a:ext>
                <a:ext uri="{FF2B5EF4-FFF2-40B4-BE49-F238E27FC236}">
                  <a16:creationId xmlns:a16="http://schemas.microsoft.com/office/drawing/2014/main" id="{00000000-0008-0000-0E00-00008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23</xdr:row>
          <xdr:rowOff>25400</xdr:rowOff>
        </xdr:from>
        <xdr:to>
          <xdr:col>5</xdr:col>
          <xdr:colOff>749300</xdr:colOff>
          <xdr:row>23</xdr:row>
          <xdr:rowOff>177800</xdr:rowOff>
        </xdr:to>
        <xdr:sp macro="" textlink="">
          <xdr:nvSpPr>
            <xdr:cNvPr id="1154" name="Drop Down 130" hidden="1">
              <a:extLst>
                <a:ext uri="{63B3BB69-23CF-44E3-9099-C40C66FF867C}">
                  <a14:compatExt spid="_x0000_s1154"/>
                </a:ext>
                <a:ext uri="{FF2B5EF4-FFF2-40B4-BE49-F238E27FC236}">
                  <a16:creationId xmlns:a16="http://schemas.microsoft.com/office/drawing/2014/main" id="{00000000-0008-0000-0E00-00008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24</xdr:row>
          <xdr:rowOff>25400</xdr:rowOff>
        </xdr:from>
        <xdr:to>
          <xdr:col>5</xdr:col>
          <xdr:colOff>749300</xdr:colOff>
          <xdr:row>24</xdr:row>
          <xdr:rowOff>177800</xdr:rowOff>
        </xdr:to>
        <xdr:sp macro="" textlink="">
          <xdr:nvSpPr>
            <xdr:cNvPr id="1155" name="Drop Down 131" hidden="1">
              <a:extLst>
                <a:ext uri="{63B3BB69-23CF-44E3-9099-C40C66FF867C}">
                  <a14:compatExt spid="_x0000_s1155"/>
                </a:ext>
                <a:ext uri="{FF2B5EF4-FFF2-40B4-BE49-F238E27FC236}">
                  <a16:creationId xmlns:a16="http://schemas.microsoft.com/office/drawing/2014/main" id="{00000000-0008-0000-0E00-00008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25</xdr:row>
          <xdr:rowOff>25400</xdr:rowOff>
        </xdr:from>
        <xdr:to>
          <xdr:col>5</xdr:col>
          <xdr:colOff>749300</xdr:colOff>
          <xdr:row>25</xdr:row>
          <xdr:rowOff>177800</xdr:rowOff>
        </xdr:to>
        <xdr:sp macro="" textlink="">
          <xdr:nvSpPr>
            <xdr:cNvPr id="1156" name="Drop Down 132" hidden="1">
              <a:extLst>
                <a:ext uri="{63B3BB69-23CF-44E3-9099-C40C66FF867C}">
                  <a14:compatExt spid="_x0000_s1156"/>
                </a:ext>
                <a:ext uri="{FF2B5EF4-FFF2-40B4-BE49-F238E27FC236}">
                  <a16:creationId xmlns:a16="http://schemas.microsoft.com/office/drawing/2014/main" id="{00000000-0008-0000-0E00-00008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26</xdr:row>
          <xdr:rowOff>25400</xdr:rowOff>
        </xdr:from>
        <xdr:to>
          <xdr:col>5</xdr:col>
          <xdr:colOff>749300</xdr:colOff>
          <xdr:row>26</xdr:row>
          <xdr:rowOff>177800</xdr:rowOff>
        </xdr:to>
        <xdr:sp macro="" textlink="">
          <xdr:nvSpPr>
            <xdr:cNvPr id="1157" name="Drop Down 133" hidden="1">
              <a:extLst>
                <a:ext uri="{63B3BB69-23CF-44E3-9099-C40C66FF867C}">
                  <a14:compatExt spid="_x0000_s1157"/>
                </a:ext>
                <a:ext uri="{FF2B5EF4-FFF2-40B4-BE49-F238E27FC236}">
                  <a16:creationId xmlns:a16="http://schemas.microsoft.com/office/drawing/2014/main" id="{00000000-0008-0000-0E00-00008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114300</xdr:colOff>
          <xdr:row>8</xdr:row>
          <xdr:rowOff>25400</xdr:rowOff>
        </xdr:from>
        <xdr:to>
          <xdr:col>9</xdr:col>
          <xdr:colOff>863600</xdr:colOff>
          <xdr:row>8</xdr:row>
          <xdr:rowOff>215900</xdr:rowOff>
        </xdr:to>
        <xdr:sp macro="" textlink="">
          <xdr:nvSpPr>
            <xdr:cNvPr id="1158" name="Drop Down 134" hidden="1">
              <a:extLst>
                <a:ext uri="{63B3BB69-23CF-44E3-9099-C40C66FF867C}">
                  <a14:compatExt spid="_x0000_s1158"/>
                </a:ext>
                <a:ext uri="{FF2B5EF4-FFF2-40B4-BE49-F238E27FC236}">
                  <a16:creationId xmlns:a16="http://schemas.microsoft.com/office/drawing/2014/main" id="{00000000-0008-0000-0E00-00008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101600</xdr:colOff>
          <xdr:row>13</xdr:row>
          <xdr:rowOff>355600</xdr:rowOff>
        </xdr:from>
        <xdr:to>
          <xdr:col>2</xdr:col>
          <xdr:colOff>685800</xdr:colOff>
          <xdr:row>15</xdr:row>
          <xdr:rowOff>25400</xdr:rowOff>
        </xdr:to>
        <xdr:sp macro="" textlink="">
          <xdr:nvSpPr>
            <xdr:cNvPr id="1159" name="ScannerCheckbox" hidden="1">
              <a:extLst>
                <a:ext uri="{63B3BB69-23CF-44E3-9099-C40C66FF867C}">
                  <a14:compatExt spid="_x0000_s1159"/>
                </a:ext>
                <a:ext uri="{FF2B5EF4-FFF2-40B4-BE49-F238E27FC236}">
                  <a16:creationId xmlns:a16="http://schemas.microsoft.com/office/drawing/2014/main" id="{00000000-0008-0000-0E00-00008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736600</xdr:colOff>
          <xdr:row>14</xdr:row>
          <xdr:rowOff>0</xdr:rowOff>
        </xdr:from>
        <xdr:to>
          <xdr:col>2</xdr:col>
          <xdr:colOff>2006600</xdr:colOff>
          <xdr:row>15</xdr:row>
          <xdr:rowOff>25400</xdr:rowOff>
        </xdr:to>
        <xdr:sp macro="" textlink="">
          <xdr:nvSpPr>
            <xdr:cNvPr id="1161" name="DropDown_IndexScanner" hidden="1">
              <a:extLst>
                <a:ext uri="{63B3BB69-23CF-44E3-9099-C40C66FF867C}">
                  <a14:compatExt spid="_x0000_s1161"/>
                </a:ext>
                <a:ext uri="{FF2B5EF4-FFF2-40B4-BE49-F238E27FC236}">
                  <a16:creationId xmlns:a16="http://schemas.microsoft.com/office/drawing/2014/main" id="{00000000-0008-0000-0E00-00008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88900</xdr:colOff>
          <xdr:row>4</xdr:row>
          <xdr:rowOff>12700</xdr:rowOff>
        </xdr:from>
        <xdr:to>
          <xdr:col>2</xdr:col>
          <xdr:colOff>2984500</xdr:colOff>
          <xdr:row>4</xdr:row>
          <xdr:rowOff>215900</xdr:rowOff>
        </xdr:to>
        <xdr:sp macro="" textlink="">
          <xdr:nvSpPr>
            <xdr:cNvPr id="1163" name="ChkB_UpgradeUpdate" hidden="1">
              <a:extLst>
                <a:ext uri="{63B3BB69-23CF-44E3-9099-C40C66FF867C}">
                  <a14:compatExt spid="_x0000_s1163"/>
                </a:ext>
                <a:ext uri="{FF2B5EF4-FFF2-40B4-BE49-F238E27FC236}">
                  <a16:creationId xmlns:a16="http://schemas.microsoft.com/office/drawing/2014/main" id="{00000000-0008-0000-0E00-00008B040000}"/>
                </a:ext>
              </a:extLst>
            </xdr:cNvPr>
            <xdr:cNvSpPr/>
          </xdr:nvSpPr>
          <xdr:spPr bwMode="auto">
            <a:xfrm>
              <a:off x="0" y="0"/>
              <a:ext cx="0" cy="0"/>
            </a:xfrm>
            <a:prstGeom prst="rect">
              <a:avLst/>
            </a:prstGeom>
            <a:noFill/>
            <a:ln>
              <a:noFill/>
            </a:ln>
            <a:extLst>
              <a:ext uri="{909E8E84-426E-40DD-AFC4-6F175D3DCCD1}">
                <a14:hiddenFill>
                  <a:solidFill>
                    <a:srgbClr val="FF0000"/>
                  </a:solidFill>
                </a14:hiddenFill>
              </a:ext>
              <a:ext uri="{91240B29-F687-4F45-9708-019B960494DF}">
                <a14:hiddenLine w="9525">
                  <a:solidFill>
                    <a:srgbClr val="FFFFFF"/>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25400</xdr:rowOff>
        </xdr:from>
        <xdr:to>
          <xdr:col>2</xdr:col>
          <xdr:colOff>25400</xdr:colOff>
          <xdr:row>3</xdr:row>
          <xdr:rowOff>215900</xdr:rowOff>
        </xdr:to>
        <xdr:sp macro="" textlink="">
          <xdr:nvSpPr>
            <xdr:cNvPr id="1164" name="DropDown_N_SoftwareOrUpg" hidden="1">
              <a:extLst>
                <a:ext uri="{63B3BB69-23CF-44E3-9099-C40C66FF867C}">
                  <a14:compatExt spid="_x0000_s1164"/>
                </a:ext>
                <a:ext uri="{FF2B5EF4-FFF2-40B4-BE49-F238E27FC236}">
                  <a16:creationId xmlns:a16="http://schemas.microsoft.com/office/drawing/2014/main" id="{00000000-0008-0000-0E00-00008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25400</xdr:colOff>
          <xdr:row>0</xdr:row>
          <xdr:rowOff>25400</xdr:rowOff>
        </xdr:from>
        <xdr:to>
          <xdr:col>5</xdr:col>
          <xdr:colOff>1092200</xdr:colOff>
          <xdr:row>0</xdr:row>
          <xdr:rowOff>228600</xdr:rowOff>
        </xdr:to>
        <xdr:sp macro="" textlink="">
          <xdr:nvSpPr>
            <xdr:cNvPr id="57345" name="CheckBoxDetails" hidden="1">
              <a:extLst>
                <a:ext uri="{63B3BB69-23CF-44E3-9099-C40C66FF867C}">
                  <a14:compatExt spid="_x0000_s57345"/>
                </a:ext>
                <a:ext uri="{FF2B5EF4-FFF2-40B4-BE49-F238E27FC236}">
                  <a16:creationId xmlns:a16="http://schemas.microsoft.com/office/drawing/2014/main" id="{00000000-0008-0000-0F00-000001E00000}"/>
                </a:ext>
              </a:extLst>
            </xdr:cNvPr>
            <xdr:cNvSpPr/>
          </xdr:nvSpPr>
          <xdr:spPr bwMode="auto">
            <a:xfrm>
              <a:off x="0" y="0"/>
              <a:ext cx="0" cy="0"/>
            </a:xfrm>
            <a:prstGeom prst="rect">
              <a:avLst/>
            </a:prstGeom>
            <a:noFill/>
            <a:ln>
              <a:noFill/>
            </a:ln>
            <a:extLst>
              <a:ext uri="{909E8E84-426E-40DD-AFC4-6F175D3DCCD1}">
                <a14:hiddenFill>
                  <a:solidFill>
                    <a:srgbClr val="FF0000"/>
                  </a:solidFill>
                </a14:hiddenFill>
              </a:ext>
              <a:ext uri="{91240B29-F687-4F45-9708-019B960494DF}">
                <a14:hiddenLine w="9525">
                  <a:solidFill>
                    <a:srgbClr val="FFFFFF"/>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xdr:twoCellAnchor>
    <xdr:from>
      <xdr:col>5</xdr:col>
      <xdr:colOff>283370</xdr:colOff>
      <xdr:row>0</xdr:row>
      <xdr:rowOff>0</xdr:rowOff>
    </xdr:from>
    <xdr:to>
      <xdr:col>5</xdr:col>
      <xdr:colOff>1143000</xdr:colOff>
      <xdr:row>0</xdr:row>
      <xdr:rowOff>195262</xdr:rowOff>
    </xdr:to>
    <xdr:sp macro="" textlink="" fLocksText="0">
      <xdr:nvSpPr>
        <xdr:cNvPr id="3" name="TextBox 2">
          <a:extLst>
            <a:ext uri="{FF2B5EF4-FFF2-40B4-BE49-F238E27FC236}">
              <a16:creationId xmlns:a16="http://schemas.microsoft.com/office/drawing/2014/main" id="{00000000-0008-0000-0D00-000003000000}"/>
            </a:ext>
          </a:extLst>
        </xdr:cNvPr>
        <xdr:cNvSpPr txBox="1"/>
      </xdr:nvSpPr>
      <xdr:spPr>
        <a:xfrm>
          <a:off x="9522620" y="0"/>
          <a:ext cx="802480" cy="195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b="0" i="1" u="sng">
              <a:solidFill>
                <a:srgbClr val="C00000"/>
              </a:solidFill>
            </a:rPr>
            <a:t>Instructions</a:t>
          </a:r>
        </a:p>
      </xdr:txBody>
    </xdr:sp>
    <xdr:clientData/>
  </xdr:twoCellAnchor>
  <mc:AlternateContent xmlns:mc="http://schemas.openxmlformats.org/markup-compatibility/2006">
    <mc:Choice xmlns:a14="http://schemas.microsoft.com/office/drawing/2010/main" Requires="a14">
      <xdr:twoCellAnchor editAs="oneCell">
        <xdr:from>
          <xdr:col>4</xdr:col>
          <xdr:colOff>76200</xdr:colOff>
          <xdr:row>2</xdr:row>
          <xdr:rowOff>215900</xdr:rowOff>
        </xdr:from>
        <xdr:to>
          <xdr:col>4</xdr:col>
          <xdr:colOff>3136900</xdr:colOff>
          <xdr:row>4</xdr:row>
          <xdr:rowOff>12700</xdr:rowOff>
        </xdr:to>
        <xdr:sp macro="" textlink="">
          <xdr:nvSpPr>
            <xdr:cNvPr id="57366" name="Drop Down 22" hidden="1">
              <a:extLst>
                <a:ext uri="{63B3BB69-23CF-44E3-9099-C40C66FF867C}">
                  <a14:compatExt spid="_x0000_s57366"/>
                </a:ext>
                <a:ext uri="{FF2B5EF4-FFF2-40B4-BE49-F238E27FC236}">
                  <a16:creationId xmlns:a16="http://schemas.microsoft.com/office/drawing/2014/main" id="{00000000-0008-0000-0F00-000016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114300</xdr:colOff>
          <xdr:row>8</xdr:row>
          <xdr:rowOff>25400</xdr:rowOff>
        </xdr:from>
        <xdr:to>
          <xdr:col>9</xdr:col>
          <xdr:colOff>863600</xdr:colOff>
          <xdr:row>8</xdr:row>
          <xdr:rowOff>203200</xdr:rowOff>
        </xdr:to>
        <xdr:sp macro="" textlink="">
          <xdr:nvSpPr>
            <xdr:cNvPr id="57367" name="Drop Down 23" hidden="1">
              <a:extLst>
                <a:ext uri="{63B3BB69-23CF-44E3-9099-C40C66FF867C}">
                  <a14:compatExt spid="_x0000_s57367"/>
                </a:ext>
                <a:ext uri="{FF2B5EF4-FFF2-40B4-BE49-F238E27FC236}">
                  <a16:creationId xmlns:a16="http://schemas.microsoft.com/office/drawing/2014/main" id="{00000000-0008-0000-0F00-000017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76200</xdr:colOff>
          <xdr:row>4</xdr:row>
          <xdr:rowOff>0</xdr:rowOff>
        </xdr:from>
        <xdr:to>
          <xdr:col>4</xdr:col>
          <xdr:colOff>1473200</xdr:colOff>
          <xdr:row>5</xdr:row>
          <xdr:rowOff>0</xdr:rowOff>
        </xdr:to>
        <xdr:sp macro="" textlink="">
          <xdr:nvSpPr>
            <xdr:cNvPr id="57368" name="DropDown_IndexClientVersion" hidden="1">
              <a:extLst>
                <a:ext uri="{63B3BB69-23CF-44E3-9099-C40C66FF867C}">
                  <a14:compatExt spid="_x0000_s57368"/>
                </a:ext>
                <a:ext uri="{FF2B5EF4-FFF2-40B4-BE49-F238E27FC236}">
                  <a16:creationId xmlns:a16="http://schemas.microsoft.com/office/drawing/2014/main" id="{00000000-0008-0000-0F00-000018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25400</xdr:rowOff>
        </xdr:from>
        <xdr:to>
          <xdr:col>2</xdr:col>
          <xdr:colOff>25400</xdr:colOff>
          <xdr:row>3</xdr:row>
          <xdr:rowOff>215900</xdr:rowOff>
        </xdr:to>
        <xdr:sp macro="" textlink="">
          <xdr:nvSpPr>
            <xdr:cNvPr id="57370" name="DropDown_N_SoftwareOrUpg" hidden="1">
              <a:extLst>
                <a:ext uri="{63B3BB69-23CF-44E3-9099-C40C66FF867C}">
                  <a14:compatExt spid="_x0000_s57370"/>
                </a:ext>
                <a:ext uri="{FF2B5EF4-FFF2-40B4-BE49-F238E27FC236}">
                  <a16:creationId xmlns:a16="http://schemas.microsoft.com/office/drawing/2014/main" id="{00000000-0008-0000-0F00-00001A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4</xdr:row>
          <xdr:rowOff>12700</xdr:rowOff>
        </xdr:from>
        <xdr:to>
          <xdr:col>2</xdr:col>
          <xdr:colOff>2971800</xdr:colOff>
          <xdr:row>4</xdr:row>
          <xdr:rowOff>215900</xdr:rowOff>
        </xdr:to>
        <xdr:sp macro="" textlink="">
          <xdr:nvSpPr>
            <xdr:cNvPr id="57371" name="ChkB_UpgradeUpdate" hidden="1">
              <a:extLst>
                <a:ext uri="{63B3BB69-23CF-44E3-9099-C40C66FF867C}">
                  <a14:compatExt spid="_x0000_s57371"/>
                </a:ext>
                <a:ext uri="{FF2B5EF4-FFF2-40B4-BE49-F238E27FC236}">
                  <a16:creationId xmlns:a16="http://schemas.microsoft.com/office/drawing/2014/main" id="{00000000-0008-0000-0F00-00001BE00000}"/>
                </a:ext>
              </a:extLst>
            </xdr:cNvPr>
            <xdr:cNvSpPr/>
          </xdr:nvSpPr>
          <xdr:spPr bwMode="auto">
            <a:xfrm>
              <a:off x="0" y="0"/>
              <a:ext cx="0" cy="0"/>
            </a:xfrm>
            <a:prstGeom prst="rect">
              <a:avLst/>
            </a:prstGeom>
            <a:noFill/>
            <a:ln>
              <a:noFill/>
            </a:ln>
            <a:extLst>
              <a:ext uri="{909E8E84-426E-40DD-AFC4-6F175D3DCCD1}">
                <a14:hiddenFill>
                  <a:solidFill>
                    <a:srgbClr val="FF0000"/>
                  </a:solidFill>
                </a14:hiddenFill>
              </a:ext>
              <a:ext uri="{91240B29-F687-4F45-9708-019B960494DF}">
                <a14:hiddenLine w="9525">
                  <a:solidFill>
                    <a:srgbClr val="FFFFFF"/>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25400</xdr:colOff>
          <xdr:row>0</xdr:row>
          <xdr:rowOff>25400</xdr:rowOff>
        </xdr:from>
        <xdr:to>
          <xdr:col>5</xdr:col>
          <xdr:colOff>1092200</xdr:colOff>
          <xdr:row>0</xdr:row>
          <xdr:rowOff>228600</xdr:rowOff>
        </xdr:to>
        <xdr:sp macro="" textlink="">
          <xdr:nvSpPr>
            <xdr:cNvPr id="93185" name="CheckBoxDetails" hidden="1">
              <a:extLst>
                <a:ext uri="{63B3BB69-23CF-44E3-9099-C40C66FF867C}">
                  <a14:compatExt spid="_x0000_s93185"/>
                </a:ext>
                <a:ext uri="{FF2B5EF4-FFF2-40B4-BE49-F238E27FC236}">
                  <a16:creationId xmlns:a16="http://schemas.microsoft.com/office/drawing/2014/main" id="{00000000-0008-0000-1000-0000016C0100}"/>
                </a:ext>
              </a:extLst>
            </xdr:cNvPr>
            <xdr:cNvSpPr/>
          </xdr:nvSpPr>
          <xdr:spPr bwMode="auto">
            <a:xfrm>
              <a:off x="0" y="0"/>
              <a:ext cx="0" cy="0"/>
            </a:xfrm>
            <a:prstGeom prst="rect">
              <a:avLst/>
            </a:prstGeom>
            <a:noFill/>
            <a:ln>
              <a:noFill/>
            </a:ln>
            <a:extLst>
              <a:ext uri="{909E8E84-426E-40DD-AFC4-6F175D3DCCD1}">
                <a14:hiddenFill>
                  <a:solidFill>
                    <a:srgbClr val="FF0000"/>
                  </a:solidFill>
                </a14:hiddenFill>
              </a:ext>
              <a:ext uri="{91240B29-F687-4F45-9708-019B960494DF}">
                <a14:hiddenLine w="9525">
                  <a:solidFill>
                    <a:srgbClr val="FFFFFF"/>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xdr:twoCellAnchor>
    <xdr:from>
      <xdr:col>5</xdr:col>
      <xdr:colOff>283370</xdr:colOff>
      <xdr:row>0</xdr:row>
      <xdr:rowOff>0</xdr:rowOff>
    </xdr:from>
    <xdr:to>
      <xdr:col>5</xdr:col>
      <xdr:colOff>1143000</xdr:colOff>
      <xdr:row>0</xdr:row>
      <xdr:rowOff>195262</xdr:rowOff>
    </xdr:to>
    <xdr:sp macro="" textlink="" fLocksText="0">
      <xdr:nvSpPr>
        <xdr:cNvPr id="3" name="TextBox 2">
          <a:extLst>
            <a:ext uri="{FF2B5EF4-FFF2-40B4-BE49-F238E27FC236}">
              <a16:creationId xmlns:a16="http://schemas.microsoft.com/office/drawing/2014/main" id="{00000000-0008-0000-0E00-000003000000}"/>
            </a:ext>
          </a:extLst>
        </xdr:cNvPr>
        <xdr:cNvSpPr txBox="1"/>
      </xdr:nvSpPr>
      <xdr:spPr>
        <a:xfrm>
          <a:off x="9522620" y="0"/>
          <a:ext cx="802480" cy="195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i="1" u="sng">
              <a:solidFill>
                <a:srgbClr val="C00000"/>
              </a:solidFill>
            </a:rPr>
            <a:t>Instructions</a:t>
          </a:r>
        </a:p>
      </xdr:txBody>
    </xdr:sp>
    <xdr:clientData/>
  </xdr:twoCellAnchor>
  <mc:AlternateContent xmlns:mc="http://schemas.openxmlformats.org/markup-compatibility/2006">
    <mc:Choice xmlns:a14="http://schemas.microsoft.com/office/drawing/2010/main" Requires="a14">
      <xdr:twoCellAnchor editAs="oneCell">
        <xdr:from>
          <xdr:col>4</xdr:col>
          <xdr:colOff>76200</xdr:colOff>
          <xdr:row>2</xdr:row>
          <xdr:rowOff>215900</xdr:rowOff>
        </xdr:from>
        <xdr:to>
          <xdr:col>4</xdr:col>
          <xdr:colOff>3136900</xdr:colOff>
          <xdr:row>4</xdr:row>
          <xdr:rowOff>12700</xdr:rowOff>
        </xdr:to>
        <xdr:sp macro="" textlink="">
          <xdr:nvSpPr>
            <xdr:cNvPr id="93198" name="Drop Down 14" hidden="1">
              <a:extLst>
                <a:ext uri="{63B3BB69-23CF-44E3-9099-C40C66FF867C}">
                  <a14:compatExt spid="_x0000_s93198"/>
                </a:ext>
                <a:ext uri="{FF2B5EF4-FFF2-40B4-BE49-F238E27FC236}">
                  <a16:creationId xmlns:a16="http://schemas.microsoft.com/office/drawing/2014/main" id="{00000000-0008-0000-10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13</xdr:row>
          <xdr:rowOff>101600</xdr:rowOff>
        </xdr:from>
        <xdr:to>
          <xdr:col>2</xdr:col>
          <xdr:colOff>25400</xdr:colOff>
          <xdr:row>13</xdr:row>
          <xdr:rowOff>292100</xdr:rowOff>
        </xdr:to>
        <xdr:sp macro="" textlink="">
          <xdr:nvSpPr>
            <xdr:cNvPr id="93202" name="Drop Down 18" hidden="1">
              <a:extLst>
                <a:ext uri="{63B3BB69-23CF-44E3-9099-C40C66FF867C}">
                  <a14:compatExt spid="_x0000_s93202"/>
                </a:ext>
                <a:ext uri="{FF2B5EF4-FFF2-40B4-BE49-F238E27FC236}">
                  <a16:creationId xmlns:a16="http://schemas.microsoft.com/office/drawing/2014/main" id="{00000000-0008-0000-10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76200</xdr:colOff>
          <xdr:row>4</xdr:row>
          <xdr:rowOff>0</xdr:rowOff>
        </xdr:from>
        <xdr:to>
          <xdr:col>4</xdr:col>
          <xdr:colOff>1473200</xdr:colOff>
          <xdr:row>4</xdr:row>
          <xdr:rowOff>203200</xdr:rowOff>
        </xdr:to>
        <xdr:sp macro="" textlink="">
          <xdr:nvSpPr>
            <xdr:cNvPr id="93203" name="DropDown_IndexClientVersion" hidden="1">
              <a:extLst>
                <a:ext uri="{63B3BB69-23CF-44E3-9099-C40C66FF867C}">
                  <a14:compatExt spid="_x0000_s93203"/>
                </a:ext>
                <a:ext uri="{FF2B5EF4-FFF2-40B4-BE49-F238E27FC236}">
                  <a16:creationId xmlns:a16="http://schemas.microsoft.com/office/drawing/2014/main" id="{00000000-0008-0000-10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114300</xdr:colOff>
          <xdr:row>8</xdr:row>
          <xdr:rowOff>12700</xdr:rowOff>
        </xdr:from>
        <xdr:to>
          <xdr:col>9</xdr:col>
          <xdr:colOff>863600</xdr:colOff>
          <xdr:row>8</xdr:row>
          <xdr:rowOff>203200</xdr:rowOff>
        </xdr:to>
        <xdr:sp macro="" textlink="">
          <xdr:nvSpPr>
            <xdr:cNvPr id="93206" name="Drop Down 22" hidden="1">
              <a:extLst>
                <a:ext uri="{63B3BB69-23CF-44E3-9099-C40C66FF867C}">
                  <a14:compatExt spid="_x0000_s93206"/>
                </a:ext>
                <a:ext uri="{FF2B5EF4-FFF2-40B4-BE49-F238E27FC236}">
                  <a16:creationId xmlns:a16="http://schemas.microsoft.com/office/drawing/2014/main" id="{00000000-0008-0000-10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736600</xdr:colOff>
          <xdr:row>16</xdr:row>
          <xdr:rowOff>0</xdr:rowOff>
        </xdr:from>
        <xdr:to>
          <xdr:col>2</xdr:col>
          <xdr:colOff>2006600</xdr:colOff>
          <xdr:row>17</xdr:row>
          <xdr:rowOff>25400</xdr:rowOff>
        </xdr:to>
        <xdr:sp macro="" textlink="">
          <xdr:nvSpPr>
            <xdr:cNvPr id="93210" name="DropDown_IndexScanner" hidden="1">
              <a:extLst>
                <a:ext uri="{63B3BB69-23CF-44E3-9099-C40C66FF867C}">
                  <a14:compatExt spid="_x0000_s93210"/>
                </a:ext>
                <a:ext uri="{FF2B5EF4-FFF2-40B4-BE49-F238E27FC236}">
                  <a16:creationId xmlns:a16="http://schemas.microsoft.com/office/drawing/2014/main" id="{00000000-0008-0000-10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88900</xdr:colOff>
          <xdr:row>4</xdr:row>
          <xdr:rowOff>12700</xdr:rowOff>
        </xdr:from>
        <xdr:to>
          <xdr:col>2</xdr:col>
          <xdr:colOff>2984500</xdr:colOff>
          <xdr:row>4</xdr:row>
          <xdr:rowOff>215900</xdr:rowOff>
        </xdr:to>
        <xdr:sp macro="" textlink="">
          <xdr:nvSpPr>
            <xdr:cNvPr id="93223" name="ChkB_UpgradeUpdate" hidden="1">
              <a:extLst>
                <a:ext uri="{63B3BB69-23CF-44E3-9099-C40C66FF867C}">
                  <a14:compatExt spid="_x0000_s93223"/>
                </a:ext>
                <a:ext uri="{FF2B5EF4-FFF2-40B4-BE49-F238E27FC236}">
                  <a16:creationId xmlns:a16="http://schemas.microsoft.com/office/drawing/2014/main" id="{00000000-0008-0000-1000-0000276C0100}"/>
                </a:ext>
              </a:extLst>
            </xdr:cNvPr>
            <xdr:cNvSpPr/>
          </xdr:nvSpPr>
          <xdr:spPr bwMode="auto">
            <a:xfrm>
              <a:off x="0" y="0"/>
              <a:ext cx="0" cy="0"/>
            </a:xfrm>
            <a:prstGeom prst="rect">
              <a:avLst/>
            </a:prstGeom>
            <a:noFill/>
            <a:ln>
              <a:noFill/>
            </a:ln>
            <a:extLst>
              <a:ext uri="{909E8E84-426E-40DD-AFC4-6F175D3DCCD1}">
                <a14:hiddenFill>
                  <a:solidFill>
                    <a:srgbClr val="FF0000"/>
                  </a:solidFill>
                </a14:hiddenFill>
              </a:ext>
              <a:ext uri="{91240B29-F687-4F45-9708-019B960494DF}">
                <a14:hiddenLine w="9525">
                  <a:solidFill>
                    <a:srgbClr val="FFFFFF"/>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25400</xdr:rowOff>
        </xdr:from>
        <xdr:to>
          <xdr:col>2</xdr:col>
          <xdr:colOff>25400</xdr:colOff>
          <xdr:row>3</xdr:row>
          <xdr:rowOff>215900</xdr:rowOff>
        </xdr:to>
        <xdr:sp macro="" textlink="">
          <xdr:nvSpPr>
            <xdr:cNvPr id="93224" name="DropDown_N_SoftwareOrUpg" hidden="1">
              <a:extLst>
                <a:ext uri="{63B3BB69-23CF-44E3-9099-C40C66FF867C}">
                  <a14:compatExt spid="_x0000_s93224"/>
                </a:ext>
                <a:ext uri="{FF2B5EF4-FFF2-40B4-BE49-F238E27FC236}">
                  <a16:creationId xmlns:a16="http://schemas.microsoft.com/office/drawing/2014/main" id="{00000000-0008-0000-1000-00002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13</xdr:col>
      <xdr:colOff>11985</xdr:colOff>
      <xdr:row>217</xdr:row>
      <xdr:rowOff>13938</xdr:rowOff>
    </xdr:from>
    <xdr:to>
      <xdr:col>13</xdr:col>
      <xdr:colOff>260844</xdr:colOff>
      <xdr:row>218</xdr:row>
      <xdr:rowOff>5786</xdr:rowOff>
    </xdr:to>
    <xdr:pic>
      <xdr:nvPicPr>
        <xdr:cNvPr id="3" name="FlagCan">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24548385" y="51134613"/>
          <a:ext cx="248859" cy="191875"/>
        </a:xfrm>
        <a:prstGeom prst="rect">
          <a:avLst/>
        </a:prstGeom>
      </xdr:spPr>
    </xdr:pic>
    <xdr:clientData/>
  </xdr:twoCellAnchor>
  <xdr:twoCellAnchor editAs="oneCell">
    <xdr:from>
      <xdr:col>13</xdr:col>
      <xdr:colOff>690446</xdr:colOff>
      <xdr:row>218</xdr:row>
      <xdr:rowOff>13938</xdr:rowOff>
    </xdr:from>
    <xdr:to>
      <xdr:col>13</xdr:col>
      <xdr:colOff>939304</xdr:colOff>
      <xdr:row>219</xdr:row>
      <xdr:rowOff>5789</xdr:rowOff>
    </xdr:to>
    <xdr:pic>
      <xdr:nvPicPr>
        <xdr:cNvPr id="7" name="FlagUS">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2"/>
        <a:stretch>
          <a:fillRect/>
        </a:stretch>
      </xdr:blipFill>
      <xdr:spPr>
        <a:xfrm>
          <a:off x="25226846" y="51334638"/>
          <a:ext cx="248858" cy="191876"/>
        </a:xfrm>
        <a:prstGeom prst="rect">
          <a:avLst/>
        </a:prstGeom>
      </xdr:spPr>
    </xdr:pic>
    <xdr:clientData/>
  </xdr:twoCellAnchor>
  <xdr:twoCellAnchor editAs="oneCell">
    <xdr:from>
      <xdr:col>13</xdr:col>
      <xdr:colOff>629136</xdr:colOff>
      <xdr:row>219</xdr:row>
      <xdr:rowOff>22046</xdr:rowOff>
    </xdr:from>
    <xdr:to>
      <xdr:col>13</xdr:col>
      <xdr:colOff>877994</xdr:colOff>
      <xdr:row>220</xdr:row>
      <xdr:rowOff>13895</xdr:rowOff>
    </xdr:to>
    <xdr:pic>
      <xdr:nvPicPr>
        <xdr:cNvPr id="9" name="FlagEuro">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3"/>
        <a:stretch>
          <a:fillRect/>
        </a:stretch>
      </xdr:blipFill>
      <xdr:spPr>
        <a:xfrm>
          <a:off x="25165536" y="91338221"/>
          <a:ext cx="248858" cy="180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2273300</xdr:colOff>
          <xdr:row>0</xdr:row>
          <xdr:rowOff>25400</xdr:rowOff>
        </xdr:from>
        <xdr:to>
          <xdr:col>8</xdr:col>
          <xdr:colOff>4483100</xdr:colOff>
          <xdr:row>0</xdr:row>
          <xdr:rowOff>165100</xdr:rowOff>
        </xdr:to>
        <xdr:sp macro="" textlink="">
          <xdr:nvSpPr>
            <xdr:cNvPr id="148482" name="Check Box Francais" hidden="1">
              <a:extLst>
                <a:ext uri="{63B3BB69-23CF-44E3-9099-C40C66FF867C}">
                  <a14:compatExt spid="_x0000_s148482"/>
                </a:ext>
                <a:ext uri="{FF2B5EF4-FFF2-40B4-BE49-F238E27FC236}">
                  <a16:creationId xmlns:a16="http://schemas.microsoft.com/office/drawing/2014/main" id="{00000000-0008-0000-1200-0000024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Francais</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4368800</xdr:colOff>
          <xdr:row>0</xdr:row>
          <xdr:rowOff>0</xdr:rowOff>
        </xdr:from>
        <xdr:to>
          <xdr:col>8</xdr:col>
          <xdr:colOff>6197600</xdr:colOff>
          <xdr:row>0</xdr:row>
          <xdr:rowOff>190500</xdr:rowOff>
        </xdr:to>
        <xdr:sp macro="" textlink="">
          <xdr:nvSpPr>
            <xdr:cNvPr id="148483" name="Check Box Distributeurs" hidden="1">
              <a:extLst>
                <a:ext uri="{63B3BB69-23CF-44E3-9099-C40C66FF867C}">
                  <a14:compatExt spid="_x0000_s148483"/>
                </a:ext>
                <a:ext uri="{FF2B5EF4-FFF2-40B4-BE49-F238E27FC236}">
                  <a16:creationId xmlns:a16="http://schemas.microsoft.com/office/drawing/2014/main" id="{00000000-0008-0000-1200-0000034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 Distributeurs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0</xdr:row>
          <xdr:rowOff>25400</xdr:rowOff>
        </xdr:from>
        <xdr:to>
          <xdr:col>8</xdr:col>
          <xdr:colOff>1155700</xdr:colOff>
          <xdr:row>1</xdr:row>
          <xdr:rowOff>12700</xdr:rowOff>
        </xdr:to>
        <xdr:sp macro="" textlink="">
          <xdr:nvSpPr>
            <xdr:cNvPr id="148484" name="CheckboxSoftwareHardware" descr="Detailed Prices" hidden="1">
              <a:extLst>
                <a:ext uri="{63B3BB69-23CF-44E3-9099-C40C66FF867C}">
                  <a14:compatExt spid="_x0000_s148484"/>
                </a:ext>
                <a:ext uri="{FF2B5EF4-FFF2-40B4-BE49-F238E27FC236}">
                  <a16:creationId xmlns:a16="http://schemas.microsoft.com/office/drawing/2014/main" id="{00000000-0008-0000-1200-0000044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Split in 2 Invoices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168</xdr:row>
          <xdr:rowOff>25400</xdr:rowOff>
        </xdr:from>
        <xdr:to>
          <xdr:col>8</xdr:col>
          <xdr:colOff>1168400</xdr:colOff>
          <xdr:row>169</xdr:row>
          <xdr:rowOff>25400</xdr:rowOff>
        </xdr:to>
        <xdr:sp macro="" textlink="">
          <xdr:nvSpPr>
            <xdr:cNvPr id="148485" name="CheckboxSoftwareHardware" descr="Detailed Prices" hidden="1">
              <a:extLst>
                <a:ext uri="{63B3BB69-23CF-44E3-9099-C40C66FF867C}">
                  <a14:compatExt spid="_x0000_s148485"/>
                </a:ext>
                <a:ext uri="{FF2B5EF4-FFF2-40B4-BE49-F238E27FC236}">
                  <a16:creationId xmlns:a16="http://schemas.microsoft.com/office/drawing/2014/main" id="{00000000-0008-0000-1200-0000054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Split in 2 Invoices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5689600</xdr:colOff>
          <xdr:row>0</xdr:row>
          <xdr:rowOff>0</xdr:rowOff>
        </xdr:from>
        <xdr:to>
          <xdr:col>8</xdr:col>
          <xdr:colOff>6692900</xdr:colOff>
          <xdr:row>0</xdr:row>
          <xdr:rowOff>190500</xdr:rowOff>
        </xdr:to>
        <xdr:sp macro="" textlink="">
          <xdr:nvSpPr>
            <xdr:cNvPr id="148486" name="CheckBoxInternetDownload" descr="Detailed Prices" hidden="1">
              <a:extLst>
                <a:ext uri="{63B3BB69-23CF-44E3-9099-C40C66FF867C}">
                  <a14:compatExt spid="_x0000_s148486"/>
                </a:ext>
                <a:ext uri="{FF2B5EF4-FFF2-40B4-BE49-F238E27FC236}">
                  <a16:creationId xmlns:a16="http://schemas.microsoft.com/office/drawing/2014/main" id="{00000000-0008-0000-1200-0000064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Internet Download</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152400</xdr:colOff>
          <xdr:row>2</xdr:row>
          <xdr:rowOff>0</xdr:rowOff>
        </xdr:from>
        <xdr:to>
          <xdr:col>3</xdr:col>
          <xdr:colOff>0</xdr:colOff>
          <xdr:row>3</xdr:row>
          <xdr:rowOff>12700</xdr:rowOff>
        </xdr:to>
        <xdr:sp macro="" textlink="">
          <xdr:nvSpPr>
            <xdr:cNvPr id="146433" name="CheckBoxStaticListPrice" hidden="1">
              <a:extLst>
                <a:ext uri="{63B3BB69-23CF-44E3-9099-C40C66FF867C}">
                  <a14:compatExt spid="_x0000_s146433"/>
                </a:ext>
                <a:ext uri="{FF2B5EF4-FFF2-40B4-BE49-F238E27FC236}">
                  <a16:creationId xmlns:a16="http://schemas.microsoft.com/office/drawing/2014/main" id="{00000000-0008-0000-1300-0000013C0200}"/>
                </a:ext>
              </a:extLst>
            </xdr:cNvPr>
            <xdr:cNvSpPr/>
          </xdr:nvSpPr>
          <xdr:spPr bwMode="auto">
            <a:xfrm>
              <a:off x="0" y="0"/>
              <a:ext cx="0" cy="0"/>
            </a:xfrm>
            <a:prstGeom prst="rect">
              <a:avLst/>
            </a:prstGeom>
            <a:noFill/>
            <a:ln>
              <a:noFill/>
            </a:ln>
            <a:extLst>
              <a:ext uri="{909E8E84-426E-40DD-AFC4-6F175D3DCCD1}">
                <a14:hiddenFill>
                  <a:solidFill>
                    <a:srgbClr val="FF0000"/>
                  </a:solidFill>
                </a14:hiddenFill>
              </a:ext>
              <a:ext uri="{91240B29-F687-4F45-9708-019B960494DF}">
                <a14:hiddenLine w="9525">
                  <a:solidFill>
                    <a:srgbClr val="FFFFFF"/>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Show List Price</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0</xdr:colOff>
      <xdr:row>49</xdr:row>
      <xdr:rowOff>0</xdr:rowOff>
    </xdr:from>
    <xdr:to>
      <xdr:col>14</xdr:col>
      <xdr:colOff>388620</xdr:colOff>
      <xdr:row>54</xdr:row>
      <xdr:rowOff>129540</xdr:rowOff>
    </xdr:to>
    <xdr:sp macro="" textlink="" fLocksText="0">
      <xdr:nvSpPr>
        <xdr:cNvPr id="12" name="Textbox_Comments_En" hidden="1">
          <a:extLst>
            <a:ext uri="{FF2B5EF4-FFF2-40B4-BE49-F238E27FC236}">
              <a16:creationId xmlns:a16="http://schemas.microsoft.com/office/drawing/2014/main" id="{00000000-0008-0000-0100-00000C000000}"/>
            </a:ext>
          </a:extLst>
        </xdr:cNvPr>
        <xdr:cNvSpPr txBox="1"/>
      </xdr:nvSpPr>
      <xdr:spPr>
        <a:xfrm>
          <a:off x="590550" y="6753225"/>
          <a:ext cx="5341620" cy="79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0" i="0">
              <a:solidFill>
                <a:schemeClr val="dk1"/>
              </a:solidFill>
              <a:effectLst/>
              <a:latin typeface="+mn-lt"/>
              <a:ea typeface="+mn-ea"/>
              <a:cs typeface="+mn-cs"/>
            </a:rPr>
            <a:t>Comments:</a:t>
          </a:r>
          <a:endParaRPr lang="en-CA" sz="1000">
            <a:effectLst/>
          </a:endParaRPr>
        </a:p>
      </xdr:txBody>
    </xdr:sp>
    <xdr:clientData fLocksWithSheet="0"/>
  </xdr:twoCellAnchor>
  <xdr:twoCellAnchor>
    <xdr:from>
      <xdr:col>3</xdr:col>
      <xdr:colOff>60960</xdr:colOff>
      <xdr:row>45</xdr:row>
      <xdr:rowOff>60960</xdr:rowOff>
    </xdr:from>
    <xdr:to>
      <xdr:col>14</xdr:col>
      <xdr:colOff>320040</xdr:colOff>
      <xdr:row>53</xdr:row>
      <xdr:rowOff>118241</xdr:rowOff>
    </xdr:to>
    <xdr:sp macro="" textlink="">
      <xdr:nvSpPr>
        <xdr:cNvPr id="14" name="Textbox_Tariff" hidden="1">
          <a:extLst>
            <a:ext uri="{FF2B5EF4-FFF2-40B4-BE49-F238E27FC236}">
              <a16:creationId xmlns:a16="http://schemas.microsoft.com/office/drawing/2014/main" id="{00000000-0008-0000-0100-00000E000000}"/>
            </a:ext>
          </a:extLst>
        </xdr:cNvPr>
        <xdr:cNvSpPr txBox="1"/>
      </xdr:nvSpPr>
      <xdr:spPr>
        <a:xfrm>
          <a:off x="658736" y="6255494"/>
          <a:ext cx="5238356" cy="110831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solidFill>
                <a:srgbClr val="FF0000"/>
              </a:solidFill>
              <a:effectLst/>
              <a:latin typeface="+mn-lt"/>
              <a:ea typeface="+mn-ea"/>
              <a:cs typeface="+mn-cs"/>
            </a:rPr>
            <a:t>IMPORTANT NOTE:</a:t>
          </a:r>
          <a:br>
            <a:rPr lang="en-CA" sz="1100">
              <a:solidFill>
                <a:schemeClr val="dk1"/>
              </a:solidFill>
              <a:effectLst/>
              <a:latin typeface="+mn-lt"/>
              <a:ea typeface="+mn-ea"/>
              <a:cs typeface="+mn-cs"/>
            </a:rPr>
          </a:br>
          <a:r>
            <a:rPr lang="en-CA" sz="800" b="1">
              <a:solidFill>
                <a:schemeClr val="dk1"/>
              </a:solidFill>
              <a:effectLst/>
              <a:latin typeface="+mn-lt"/>
              <a:ea typeface="+mn-ea"/>
              <a:cs typeface="+mn-cs"/>
            </a:rPr>
            <a:t>The U.S. government might impose duty tariffs on some or all Canadian products imports in the U.S. These duties are not included in our quoted prices and will be the responsibility of the buyer. The importing carrier or broker will ask the buyer to pay those fees.</a:t>
          </a:r>
        </a:p>
        <a:p>
          <a:endParaRPr lang="en-CA" sz="800" b="1">
            <a:solidFill>
              <a:schemeClr val="dk1"/>
            </a:solidFill>
            <a:effectLst/>
            <a:latin typeface="+mn-lt"/>
            <a:ea typeface="+mn-ea"/>
            <a:cs typeface="+mn-cs"/>
          </a:endParaRPr>
        </a:p>
        <a:p>
          <a:br>
            <a:rPr lang="en-CA" sz="800">
              <a:solidFill>
                <a:schemeClr val="dk1"/>
              </a:solidFill>
              <a:effectLst/>
              <a:latin typeface="+mn-lt"/>
              <a:ea typeface="+mn-ea"/>
              <a:cs typeface="+mn-cs"/>
            </a:rPr>
          </a:br>
          <a:endParaRPr lang="en-CA" sz="800">
            <a:solidFill>
              <a:schemeClr val="dk1"/>
            </a:solidFill>
            <a:effectLst/>
            <a:latin typeface="+mn-lt"/>
            <a:ea typeface="+mn-ea"/>
            <a:cs typeface="+mn-cs"/>
          </a:endParaRPr>
        </a:p>
      </xdr:txBody>
    </xdr:sp>
    <xdr:clientData/>
  </xdr:twoCellAnchor>
  <xdr:twoCellAnchor>
    <xdr:from>
      <xdr:col>19</xdr:col>
      <xdr:colOff>6569</xdr:colOff>
      <xdr:row>55</xdr:row>
      <xdr:rowOff>9525</xdr:rowOff>
    </xdr:from>
    <xdr:to>
      <xdr:col>31</xdr:col>
      <xdr:colOff>6569</xdr:colOff>
      <xdr:row>58</xdr:row>
      <xdr:rowOff>0</xdr:rowOff>
    </xdr:to>
    <xdr:sp macro="" textlink="">
      <xdr:nvSpPr>
        <xdr:cNvPr id="8" name="Textbox_Title2Fr">
          <a:extLst>
            <a:ext uri="{FF2B5EF4-FFF2-40B4-BE49-F238E27FC236}">
              <a16:creationId xmlns:a16="http://schemas.microsoft.com/office/drawing/2014/main" id="{00000000-0008-0000-0100-000008000000}"/>
            </a:ext>
          </a:extLst>
        </xdr:cNvPr>
        <xdr:cNvSpPr txBox="1"/>
      </xdr:nvSpPr>
      <xdr:spPr>
        <a:xfrm>
          <a:off x="7359869" y="7429500"/>
          <a:ext cx="5086350" cy="457200"/>
        </a:xfrm>
        <a:prstGeom prst="rect">
          <a:avLst/>
        </a:prstGeom>
        <a:solidFill>
          <a:srgbClr val="B4D9FA"/>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tIns="0" rIns="0" bIns="0" rtlCol="0" anchor="t"/>
        <a:lstStyle/>
        <a:p>
          <a:pPr>
            <a:lnSpc>
              <a:spcPts val="1100"/>
            </a:lnSpc>
          </a:pPr>
          <a:r>
            <a:rPr lang="en-CA" sz="850" b="1">
              <a:solidFill>
                <a:srgbClr val="FF0000"/>
              </a:solidFill>
            </a:rPr>
            <a:t>PRIX VALABLES UNIQUEMENT POUR NOS CONDITIONS DE VENTE </a:t>
          </a:r>
          <a:r>
            <a:rPr kumimoji="0" lang="en-CA" sz="750" b="0" i="0" u="none" strike="noStrike" kern="0" cap="none" spc="0" normalizeH="0" baseline="0" noProof="0">
              <a:ln>
                <a:noFill/>
              </a:ln>
              <a:solidFill>
                <a:prstClr val="black"/>
              </a:solidFill>
              <a:effectLst/>
              <a:uLnTx/>
              <a:uFillTx/>
              <a:latin typeface="+mn-lt"/>
              <a:ea typeface="+mn-ea"/>
              <a:cs typeface="+mn-cs"/>
            </a:rPr>
            <a:t>(voir page suivante).</a:t>
          </a:r>
          <a:r>
            <a:rPr lang="en-CA" sz="850" b="1">
              <a:solidFill>
                <a:srgbClr val="FF0000"/>
              </a:solidFill>
            </a:rPr>
            <a:t> LES COMMANDES INTERNATIONALES DOIVENT ÊTRE PRÉPAYÉES </a:t>
          </a:r>
          <a:r>
            <a:rPr kumimoji="0" lang="en-CA" sz="750" b="0" i="0" u="none" strike="noStrike" kern="0" cap="none" spc="0" normalizeH="0" baseline="0" noProof="0">
              <a:ln>
                <a:noFill/>
              </a:ln>
              <a:solidFill>
                <a:prstClr val="black"/>
              </a:solidFill>
              <a:effectLst/>
              <a:uLnTx/>
              <a:uFillTx/>
              <a:latin typeface="+mn-lt"/>
              <a:ea typeface="+mn-ea"/>
              <a:cs typeface="+mn-cs"/>
            </a:rPr>
            <a:t>(Visa, Mastercard ou virement bancaire (voir les informations bancaires ci-dessous)). Les prix sont les mêmes pour tous les modes de paiement.</a:t>
          </a:r>
          <a:endParaRPr lang="en-CA" sz="850" b="0"/>
        </a:p>
      </xdr:txBody>
    </xdr:sp>
    <xdr:clientData/>
  </xdr:twoCellAnchor>
  <xdr:twoCellAnchor>
    <xdr:from>
      <xdr:col>1</xdr:col>
      <xdr:colOff>6349</xdr:colOff>
      <xdr:row>55</xdr:row>
      <xdr:rowOff>9525</xdr:rowOff>
    </xdr:from>
    <xdr:to>
      <xdr:col>13</xdr:col>
      <xdr:colOff>6349</xdr:colOff>
      <xdr:row>58</xdr:row>
      <xdr:rowOff>0</xdr:rowOff>
    </xdr:to>
    <xdr:sp macro="" textlink="">
      <xdr:nvSpPr>
        <xdr:cNvPr id="7" name="Textbox_Title1Fr">
          <a:extLst>
            <a:ext uri="{FF2B5EF4-FFF2-40B4-BE49-F238E27FC236}">
              <a16:creationId xmlns:a16="http://schemas.microsoft.com/office/drawing/2014/main" id="{00000000-0008-0000-0100-000007000000}"/>
            </a:ext>
          </a:extLst>
        </xdr:cNvPr>
        <xdr:cNvSpPr txBox="1"/>
      </xdr:nvSpPr>
      <xdr:spPr>
        <a:xfrm>
          <a:off x="63499" y="7429500"/>
          <a:ext cx="5086350" cy="457200"/>
        </a:xfrm>
        <a:prstGeom prst="rect">
          <a:avLst/>
        </a:prstGeom>
        <a:solidFill>
          <a:srgbClr val="B4D9FA"/>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tIns="0" rIns="0" bIns="0" rtlCol="0" anchor="t"/>
        <a:lstStyle/>
        <a:p>
          <a:pPr>
            <a:lnSpc>
              <a:spcPts val="1100"/>
            </a:lnSpc>
          </a:pPr>
          <a:r>
            <a:rPr lang="en-CA" sz="850" b="1">
              <a:solidFill>
                <a:srgbClr val="FF0000"/>
              </a:solidFill>
            </a:rPr>
            <a:t>PRIX VALABLES UNIQUEMENT POUR NOS CONDITIONS DE VENTE </a:t>
          </a:r>
          <a:r>
            <a:rPr kumimoji="0" lang="en-CA" sz="750" b="0" i="0" u="none" strike="noStrike" kern="0" cap="none" spc="0" normalizeH="0" baseline="0" noProof="0">
              <a:ln>
                <a:noFill/>
              </a:ln>
              <a:solidFill>
                <a:prstClr val="black"/>
              </a:solidFill>
              <a:effectLst/>
              <a:uLnTx/>
              <a:uFillTx/>
              <a:latin typeface="+mn-lt"/>
              <a:ea typeface="+mn-ea"/>
              <a:cs typeface="+mn-cs"/>
            </a:rPr>
            <a:t>(voir page suivante).</a:t>
          </a:r>
          <a:r>
            <a:rPr lang="en-CA" sz="850" b="1">
              <a:solidFill>
                <a:srgbClr val="FF0000"/>
              </a:solidFill>
            </a:rPr>
            <a:t> LES COMMANDES INTERNATIONALES DOIVENT ÊTRE PRÉPAYÉES </a:t>
          </a:r>
          <a:r>
            <a:rPr kumimoji="0" lang="en-CA" sz="750" b="0" i="0" u="none" strike="noStrike" kern="0" cap="none" spc="0" normalizeH="0" baseline="0" noProof="0">
              <a:ln>
                <a:noFill/>
              </a:ln>
              <a:solidFill>
                <a:prstClr val="black"/>
              </a:solidFill>
              <a:effectLst/>
              <a:uLnTx/>
              <a:uFillTx/>
              <a:latin typeface="+mn-lt"/>
              <a:ea typeface="+mn-ea"/>
              <a:cs typeface="+mn-cs"/>
            </a:rPr>
            <a:t>(Visa, Mastercard ou virement bancaire (voir les informations bancaires ci-dessous)). Les prix sont les mêmes pour tous les modes de paiement.</a:t>
          </a:r>
          <a:endParaRPr lang="en-CA" sz="850" b="0"/>
        </a:p>
      </xdr:txBody>
    </xdr:sp>
    <xdr:clientData/>
  </xdr:twoCellAnchor>
  <xdr:twoCellAnchor editAs="absolute">
    <xdr:from>
      <xdr:col>0</xdr:col>
      <xdr:colOff>20954</xdr:colOff>
      <xdr:row>2</xdr:row>
      <xdr:rowOff>63211</xdr:rowOff>
    </xdr:from>
    <xdr:to>
      <xdr:col>6</xdr:col>
      <xdr:colOff>9525</xdr:colOff>
      <xdr:row>9</xdr:row>
      <xdr:rowOff>79513</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20954" y="482311"/>
          <a:ext cx="2293621" cy="85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800"/>
            </a:lnSpc>
          </a:pPr>
          <a:r>
            <a:rPr lang="en-CA" sz="1000" b="1" i="0" u="none" strike="noStrike">
              <a:solidFill>
                <a:sysClr val="windowText" lastClr="000000"/>
              </a:solidFill>
              <a:effectLst/>
              <a:latin typeface="+mn-lt"/>
              <a:ea typeface="+mn-ea"/>
              <a:cs typeface="+mn-cs"/>
            </a:rPr>
            <a:t>REGENT INSTRUMENTS INC.</a:t>
          </a:r>
          <a:r>
            <a:rPr lang="en-CA" sz="1000">
              <a:solidFill>
                <a:sysClr val="windowText" lastClr="000000"/>
              </a:solidFill>
            </a:rPr>
            <a:t> </a:t>
          </a:r>
        </a:p>
        <a:p>
          <a:pPr algn="l">
            <a:lnSpc>
              <a:spcPts val="800"/>
            </a:lnSpc>
          </a:pPr>
          <a:r>
            <a:rPr lang="en-CA" sz="900" b="0" i="0" u="none" strike="noStrike">
              <a:solidFill>
                <a:sysClr val="windowText" lastClr="000000"/>
              </a:solidFill>
              <a:effectLst/>
              <a:latin typeface="+mn-lt"/>
              <a:ea typeface="+mn-ea"/>
              <a:cs typeface="+mn-cs"/>
            </a:rPr>
            <a:t>7140, Blvd Wilfrid-Hamel</a:t>
          </a:r>
          <a:r>
            <a:rPr lang="en-CA" sz="900">
              <a:solidFill>
                <a:sysClr val="windowText" lastClr="000000"/>
              </a:solidFill>
            </a:rPr>
            <a:t> </a:t>
          </a:r>
        </a:p>
        <a:p>
          <a:pPr algn="l">
            <a:lnSpc>
              <a:spcPts val="800"/>
            </a:lnSpc>
          </a:pPr>
          <a:r>
            <a:rPr lang="en-CA" sz="900" b="0" i="0" u="none" strike="noStrike">
              <a:solidFill>
                <a:sysClr val="windowText" lastClr="000000"/>
              </a:solidFill>
              <a:effectLst/>
              <a:latin typeface="+mn-lt"/>
              <a:ea typeface="+mn-ea"/>
              <a:cs typeface="+mn-cs"/>
            </a:rPr>
            <a:t>Quebec, QC, G2G 1B5 CANADA</a:t>
          </a:r>
        </a:p>
        <a:p>
          <a:pPr marL="0" marR="0" lvl="0" indent="0" defTabSz="914400" eaLnBrk="1" fontAlgn="auto" latinLnBrk="0" hangingPunct="1">
            <a:lnSpc>
              <a:spcPts val="800"/>
            </a:lnSpc>
            <a:spcBef>
              <a:spcPts val="0"/>
            </a:spcBef>
            <a:spcAft>
              <a:spcPts val="0"/>
            </a:spcAft>
            <a:buClrTx/>
            <a:buSzTx/>
            <a:buFontTx/>
            <a:buNone/>
            <a:tabLst/>
            <a:defRPr/>
          </a:pPr>
          <a:r>
            <a:rPr lang="en-CA" sz="900" b="0" i="0">
              <a:solidFill>
                <a:sysClr val="windowText" lastClr="000000"/>
              </a:solidFill>
              <a:effectLst/>
              <a:latin typeface="+mn-lt"/>
              <a:ea typeface="+mn-ea"/>
              <a:cs typeface="+mn-cs"/>
            </a:rPr>
            <a:t>www.regentinstruments.com</a:t>
          </a:r>
          <a:r>
            <a:rPr lang="en-CA" sz="200" b="0" i="0">
              <a:solidFill>
                <a:schemeClr val="bg1"/>
              </a:solidFill>
              <a:effectLst/>
              <a:latin typeface="+mn-lt"/>
              <a:ea typeface="+mn-ea"/>
              <a:cs typeface="+mn-cs"/>
            </a:rPr>
            <a:t>/?utm_source=PriceQuoteXLS</a:t>
          </a:r>
          <a:endParaRPr lang="en-CA" sz="1000" b="0" i="0">
            <a:solidFill>
              <a:schemeClr val="bg1"/>
            </a:solidFill>
            <a:effectLst/>
            <a:latin typeface="+mn-lt"/>
            <a:ea typeface="+mn-ea"/>
            <a:cs typeface="+mn-cs"/>
          </a:endParaRPr>
        </a:p>
        <a:p>
          <a:pPr marL="0" marR="0" lvl="0" indent="0" defTabSz="914400" eaLnBrk="1" fontAlgn="auto" latinLnBrk="0" hangingPunct="1">
            <a:lnSpc>
              <a:spcPts val="800"/>
            </a:lnSpc>
            <a:spcBef>
              <a:spcPts val="0"/>
            </a:spcBef>
            <a:spcAft>
              <a:spcPts val="0"/>
            </a:spcAft>
            <a:buClrTx/>
            <a:buSzTx/>
            <a:buFontTx/>
            <a:buNone/>
            <a:tabLst/>
            <a:defRPr/>
          </a:pPr>
          <a:r>
            <a:rPr lang="en-CA" sz="900" b="0" i="0" u="none" strike="noStrike">
              <a:solidFill>
                <a:sysClr val="windowText" lastClr="000000"/>
              </a:solidFill>
              <a:effectLst/>
              <a:latin typeface="+mn-lt"/>
              <a:ea typeface="+mn-ea"/>
              <a:cs typeface="+mn-cs"/>
            </a:rPr>
            <a:t>Tel. 418 653-1347    </a:t>
          </a:r>
          <a:r>
            <a:rPr lang="en-CA" sz="900">
              <a:solidFill>
                <a:sysClr val="windowText" lastClr="000000"/>
              </a:solidFill>
            </a:rPr>
            <a:t>  </a:t>
          </a:r>
          <a:r>
            <a:rPr lang="en-CA" sz="900" b="0" i="0">
              <a:solidFill>
                <a:sysClr val="windowText" lastClr="000000"/>
              </a:solidFill>
              <a:effectLst/>
              <a:latin typeface="+mn-lt"/>
              <a:ea typeface="+mn-ea"/>
              <a:cs typeface="+mn-cs"/>
            </a:rPr>
            <a:t>DUNS 25-526-0127</a:t>
          </a:r>
          <a:r>
            <a:rPr lang="en-CA" sz="900">
              <a:solidFill>
                <a:sysClr val="windowText" lastClr="000000"/>
              </a:solidFill>
              <a:effectLst/>
              <a:latin typeface="+mn-lt"/>
              <a:ea typeface="+mn-ea"/>
              <a:cs typeface="+mn-cs"/>
            </a:rPr>
            <a:t> </a:t>
          </a:r>
        </a:p>
        <a:p>
          <a:pPr marL="0" marR="0" lvl="0" indent="0" defTabSz="914400" eaLnBrk="1" fontAlgn="auto" latinLnBrk="0" hangingPunct="1">
            <a:lnSpc>
              <a:spcPts val="800"/>
            </a:lnSpc>
            <a:spcBef>
              <a:spcPts val="0"/>
            </a:spcBef>
            <a:spcAft>
              <a:spcPts val="0"/>
            </a:spcAft>
            <a:buClrTx/>
            <a:buSzTx/>
            <a:buFontTx/>
            <a:buNone/>
            <a:tabLst/>
            <a:defRPr/>
          </a:pPr>
          <a:r>
            <a:rPr lang="en-CA" sz="900">
              <a:solidFill>
                <a:sysClr val="windowText" lastClr="000000"/>
              </a:solidFill>
              <a:effectLst/>
            </a:rPr>
            <a:t>Tax ID (GST):  13080 1764 RT0001</a:t>
          </a:r>
          <a:endParaRPr lang="en-CA" sz="900">
            <a:solidFill>
              <a:sysClr val="windowText" lastClr="000000"/>
            </a:solidFill>
          </a:endParaRPr>
        </a:p>
      </xdr:txBody>
    </xdr:sp>
    <xdr:clientData/>
  </xdr:twoCellAnchor>
  <xdr:twoCellAnchor editAs="oneCell">
    <xdr:from>
      <xdr:col>10</xdr:col>
      <xdr:colOff>293588</xdr:colOff>
      <xdr:row>115</xdr:row>
      <xdr:rowOff>33305</xdr:rowOff>
    </xdr:from>
    <xdr:to>
      <xdr:col>17</xdr:col>
      <xdr:colOff>1141</xdr:colOff>
      <xdr:row>117</xdr:row>
      <xdr:rowOff>18623</xdr:rowOff>
    </xdr:to>
    <xdr:pic>
      <xdr:nvPicPr>
        <xdr:cNvPr id="3" name="Picture 2">
          <a:extLst>
            <a:ext uri="{FF2B5EF4-FFF2-40B4-BE49-F238E27FC236}">
              <a16:creationId xmlns:a16="http://schemas.microsoft.com/office/drawing/2014/main" id="{00000000-0008-0000-0100-000003000000}"/>
            </a:ext>
          </a:extLst>
        </xdr:cNvPr>
        <xdr:cNvPicPr>
          <a:picLocks/>
        </xdr:cNvPicPr>
      </xdr:nvPicPr>
      <xdr:blipFill>
        <a:blip xmlns:r="http://schemas.openxmlformats.org/officeDocument/2006/relationships" r:embed="rId1"/>
        <a:srcRect/>
        <a:stretch/>
      </xdr:blipFill>
      <xdr:spPr>
        <a:xfrm>
          <a:off x="4084538" y="19073780"/>
          <a:ext cx="3152882" cy="385368"/>
        </a:xfrm>
        <a:prstGeom prst="rect">
          <a:avLst/>
        </a:prstGeom>
      </xdr:spPr>
    </xdr:pic>
    <xdr:clientData/>
  </xdr:twoCellAnchor>
  <xdr:twoCellAnchor editAs="absolute">
    <xdr:from>
      <xdr:col>2</xdr:col>
      <xdr:colOff>89289</xdr:colOff>
      <xdr:row>0</xdr:row>
      <xdr:rowOff>0</xdr:rowOff>
    </xdr:from>
    <xdr:to>
      <xdr:col>5</xdr:col>
      <xdr:colOff>96992</xdr:colOff>
      <xdr:row>2</xdr:row>
      <xdr:rowOff>81471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11295" y="0"/>
          <a:ext cx="1123665" cy="501800"/>
        </a:xfrm>
        <a:prstGeom prst="rect">
          <a:avLst/>
        </a:prstGeom>
      </xdr:spPr>
    </xdr:pic>
    <xdr:clientData/>
  </xdr:twoCellAnchor>
  <xdr:twoCellAnchor>
    <xdr:from>
      <xdr:col>0</xdr:col>
      <xdr:colOff>0</xdr:colOff>
      <xdr:row>56</xdr:row>
      <xdr:rowOff>152333</xdr:rowOff>
    </xdr:from>
    <xdr:to>
      <xdr:col>12</xdr:col>
      <xdr:colOff>79742</xdr:colOff>
      <xdr:row>60</xdr:row>
      <xdr:rowOff>193608</xdr:rowOff>
    </xdr:to>
    <xdr:sp macro="" textlink="">
      <xdr:nvSpPr>
        <xdr:cNvPr id="13" name="Textbox_Comments1En" hidden="1">
          <a:extLst>
            <a:ext uri="{FF2B5EF4-FFF2-40B4-BE49-F238E27FC236}">
              <a16:creationId xmlns:a16="http://schemas.microsoft.com/office/drawing/2014/main" id="{00000000-0008-0000-0100-00000D000000}"/>
            </a:ext>
          </a:extLst>
        </xdr:cNvPr>
        <xdr:cNvSpPr txBox="1"/>
      </xdr:nvSpPr>
      <xdr:spPr>
        <a:xfrm>
          <a:off x="0" y="7638983"/>
          <a:ext cx="4823192" cy="774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endParaRPr lang="en-CA" sz="850" b="1">
            <a:solidFill>
              <a:srgbClr val="FF0000"/>
            </a:solidFill>
          </a:endParaRPr>
        </a:p>
        <a:p>
          <a:pPr>
            <a:lnSpc>
              <a:spcPts val="1100"/>
            </a:lnSpc>
          </a:pPr>
          <a:r>
            <a:rPr lang="en-CA" sz="850" b="1">
              <a:solidFill>
                <a:srgbClr val="FF0000"/>
              </a:solidFill>
            </a:rPr>
            <a:t>NOT INCLUDED IN SHIPPING COST: </a:t>
          </a:r>
          <a:r>
            <a:rPr lang="en-CA" sz="750" b="1">
              <a:solidFill>
                <a:sysClr val="windowText" lastClr="000000"/>
              </a:solidFill>
            </a:rPr>
            <a:t>Your Local Taxes, VAT, Duties, Customs Processing Fees or any fees imposed by the importing country. </a:t>
          </a:r>
          <a:r>
            <a:rPr lang="en-CA" sz="750" b="0"/>
            <a:t>The courier (Fedex, UPS, DHL...) will hold merchandise at customs and contact you (by phone or email) to pay those fees. If paid, they will deliver, if not, they will return merchandise to sender or destroy it.</a:t>
          </a:r>
        </a:p>
        <a:p>
          <a:pPr>
            <a:lnSpc>
              <a:spcPts val="1100"/>
            </a:lnSpc>
          </a:pPr>
          <a:endParaRPr lang="en-CA" sz="850" b="0"/>
        </a:p>
      </xdr:txBody>
    </xdr:sp>
    <xdr:clientData/>
  </xdr:twoCellAnchor>
  <xdr:twoCellAnchor>
    <xdr:from>
      <xdr:col>18</xdr:col>
      <xdr:colOff>0</xdr:colOff>
      <xdr:row>56</xdr:row>
      <xdr:rowOff>152333</xdr:rowOff>
    </xdr:from>
    <xdr:to>
      <xdr:col>30</xdr:col>
      <xdr:colOff>79742</xdr:colOff>
      <xdr:row>60</xdr:row>
      <xdr:rowOff>193608</xdr:rowOff>
    </xdr:to>
    <xdr:sp macro="" textlink="">
      <xdr:nvSpPr>
        <xdr:cNvPr id="42" name="Textbox_Comments2En" hidden="1">
          <a:extLst>
            <a:ext uri="{FF2B5EF4-FFF2-40B4-BE49-F238E27FC236}">
              <a16:creationId xmlns:a16="http://schemas.microsoft.com/office/drawing/2014/main" id="{00000000-0008-0000-0100-00002A000000}"/>
            </a:ext>
          </a:extLst>
        </xdr:cNvPr>
        <xdr:cNvSpPr txBox="1"/>
      </xdr:nvSpPr>
      <xdr:spPr>
        <a:xfrm>
          <a:off x="7296150" y="7638983"/>
          <a:ext cx="4823192" cy="774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endParaRPr lang="en-CA" sz="850" b="1">
            <a:solidFill>
              <a:srgbClr val="FF0000"/>
            </a:solidFill>
          </a:endParaRPr>
        </a:p>
        <a:p>
          <a:pPr>
            <a:lnSpc>
              <a:spcPts val="1100"/>
            </a:lnSpc>
          </a:pPr>
          <a:r>
            <a:rPr lang="en-CA" sz="850" b="1">
              <a:solidFill>
                <a:srgbClr val="FF0000"/>
              </a:solidFill>
            </a:rPr>
            <a:t>NOT INCLUDED IN SHIPPING COST: </a:t>
          </a:r>
          <a:r>
            <a:rPr lang="en-CA" sz="750" b="1">
              <a:solidFill>
                <a:sysClr val="windowText" lastClr="000000"/>
              </a:solidFill>
            </a:rPr>
            <a:t>Your Local Taxes, VAT, Duties, Customs Processing Fees or any fees imposed by the importing country. </a:t>
          </a:r>
          <a:r>
            <a:rPr lang="en-CA" sz="750" b="0">
              <a:solidFill>
                <a:sysClr val="windowText" lastClr="000000"/>
              </a:solidFill>
            </a:rPr>
            <a:t>Th</a:t>
          </a:r>
          <a:r>
            <a:rPr lang="en-CA" sz="750" b="0"/>
            <a:t>e courier (Fedex, UPS, DHL...) will hold merchandise at customs and contact you (by phone or email) to pay those fees. If paid, they will deliver, if not, they will return merchandise to sender or destroy it.</a:t>
          </a:r>
        </a:p>
        <a:p>
          <a:pPr>
            <a:lnSpc>
              <a:spcPts val="1100"/>
            </a:lnSpc>
          </a:pPr>
          <a:endParaRPr lang="en-CA" sz="850" b="0"/>
        </a:p>
      </xdr:txBody>
    </xdr:sp>
    <xdr:clientData/>
  </xdr:twoCellAnchor>
  <xdr:twoCellAnchor editAs="absolute">
    <xdr:from>
      <xdr:col>20</xdr:col>
      <xdr:colOff>91194</xdr:colOff>
      <xdr:row>0</xdr:row>
      <xdr:rowOff>0</xdr:rowOff>
    </xdr:from>
    <xdr:to>
      <xdr:col>23</xdr:col>
      <xdr:colOff>98897</xdr:colOff>
      <xdr:row>2</xdr:row>
      <xdr:rowOff>81471</xdr:rowOff>
    </xdr:to>
    <xdr:pic>
      <xdr:nvPicPr>
        <xdr:cNvPr id="44" name="Picture 43">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65474" y="0"/>
          <a:ext cx="1127843" cy="500571"/>
        </a:xfrm>
        <a:prstGeom prst="rect">
          <a:avLst/>
        </a:prstGeom>
      </xdr:spPr>
    </xdr:pic>
    <xdr:clientData/>
  </xdr:twoCellAnchor>
  <xdr:twoCellAnchor editAs="absolute">
    <xdr:from>
      <xdr:col>11</xdr:col>
      <xdr:colOff>2957</xdr:colOff>
      <xdr:row>1</xdr:row>
      <xdr:rowOff>1224</xdr:rowOff>
    </xdr:from>
    <xdr:to>
      <xdr:col>17</xdr:col>
      <xdr:colOff>1903</xdr:colOff>
      <xdr:row>7</xdr:row>
      <xdr:rowOff>5058</xdr:rowOff>
    </xdr:to>
    <xdr:sp macro="" textlink="">
      <xdr:nvSpPr>
        <xdr:cNvPr id="6" name="Rectangle: Rounded Corners 5">
          <a:extLst>
            <a:ext uri="{FF2B5EF4-FFF2-40B4-BE49-F238E27FC236}">
              <a16:creationId xmlns:a16="http://schemas.microsoft.com/office/drawing/2014/main" id="{00000000-0008-0000-0100-000006000000}"/>
            </a:ext>
          </a:extLst>
        </xdr:cNvPr>
        <xdr:cNvSpPr/>
      </xdr:nvSpPr>
      <xdr:spPr>
        <a:xfrm>
          <a:off x="4642585" y="266563"/>
          <a:ext cx="2594917" cy="922316"/>
        </a:xfrm>
        <a:prstGeom prst="roundRect">
          <a:avLst>
            <a:gd name="adj" fmla="val 2746"/>
          </a:avLst>
        </a:prstGeom>
        <a:noFill/>
        <a:ln w="9525">
          <a:solidFill>
            <a:srgbClr val="1185E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a:p>
        <a:p>
          <a:pPr algn="l"/>
          <a:endParaRPr lang="en-US"/>
        </a:p>
      </xdr:txBody>
    </xdr:sp>
    <xdr:clientData/>
  </xdr:twoCellAnchor>
  <xdr:twoCellAnchor editAs="absolute">
    <xdr:from>
      <xdr:col>29</xdr:col>
      <xdr:colOff>4455</xdr:colOff>
      <xdr:row>1</xdr:row>
      <xdr:rowOff>1224</xdr:rowOff>
    </xdr:from>
    <xdr:to>
      <xdr:col>35</xdr:col>
      <xdr:colOff>1905</xdr:colOff>
      <xdr:row>7</xdr:row>
      <xdr:rowOff>5058</xdr:rowOff>
    </xdr:to>
    <xdr:sp macro="" textlink="">
      <xdr:nvSpPr>
        <xdr:cNvPr id="45" name="Rectangle: Rounded Corners 44">
          <a:extLst>
            <a:ext uri="{FF2B5EF4-FFF2-40B4-BE49-F238E27FC236}">
              <a16:creationId xmlns:a16="http://schemas.microsoft.com/office/drawing/2014/main" id="{00000000-0008-0000-0100-00002D000000}"/>
            </a:ext>
          </a:extLst>
        </xdr:cNvPr>
        <xdr:cNvSpPr/>
      </xdr:nvSpPr>
      <xdr:spPr>
        <a:xfrm>
          <a:off x="11944723" y="266563"/>
          <a:ext cx="2593012" cy="922316"/>
        </a:xfrm>
        <a:prstGeom prst="roundRect">
          <a:avLst>
            <a:gd name="adj" fmla="val 2746"/>
          </a:avLst>
        </a:prstGeom>
        <a:noFill/>
        <a:ln w="9525">
          <a:solidFill>
            <a:srgbClr val="1185E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a:p>
        <a:p>
          <a:pPr algn="l"/>
          <a:endParaRPr lang="en-US"/>
        </a:p>
      </xdr:txBody>
    </xdr:sp>
    <xdr:clientData/>
  </xdr:twoCellAnchor>
  <xdr:twoCellAnchor editAs="absolute">
    <xdr:from>
      <xdr:col>18</xdr:col>
      <xdr:colOff>22860</xdr:colOff>
      <xdr:row>2</xdr:row>
      <xdr:rowOff>63211</xdr:rowOff>
    </xdr:from>
    <xdr:to>
      <xdr:col>26</xdr:col>
      <xdr:colOff>671677</xdr:colOff>
      <xdr:row>9</xdr:row>
      <xdr:rowOff>79513</xdr:rowOff>
    </xdr:to>
    <xdr:sp macro="" textlink="">
      <xdr:nvSpPr>
        <xdr:cNvPr id="46" name="TextBox 45">
          <a:extLst>
            <a:ext uri="{FF2B5EF4-FFF2-40B4-BE49-F238E27FC236}">
              <a16:creationId xmlns:a16="http://schemas.microsoft.com/office/drawing/2014/main" id="{00000000-0008-0000-0100-00002E000000}"/>
            </a:ext>
          </a:extLst>
        </xdr:cNvPr>
        <xdr:cNvSpPr txBox="1"/>
      </xdr:nvSpPr>
      <xdr:spPr>
        <a:xfrm>
          <a:off x="7277100" y="482311"/>
          <a:ext cx="3300577" cy="85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800"/>
            </a:lnSpc>
          </a:pPr>
          <a:r>
            <a:rPr lang="en-CA" sz="1000" b="1" i="0" u="none" strike="noStrike">
              <a:solidFill>
                <a:sysClr val="windowText" lastClr="000000"/>
              </a:solidFill>
              <a:effectLst/>
              <a:latin typeface="+mn-lt"/>
              <a:ea typeface="+mn-ea"/>
              <a:cs typeface="+mn-cs"/>
            </a:rPr>
            <a:t>REGENT INSTRUMENTS INC.</a:t>
          </a:r>
          <a:r>
            <a:rPr lang="en-CA" sz="1000">
              <a:solidFill>
                <a:sysClr val="windowText" lastClr="000000"/>
              </a:solidFill>
            </a:rPr>
            <a:t> </a:t>
          </a:r>
        </a:p>
        <a:p>
          <a:pPr algn="l">
            <a:lnSpc>
              <a:spcPts val="800"/>
            </a:lnSpc>
          </a:pPr>
          <a:r>
            <a:rPr lang="en-CA" sz="900" b="0" i="0" u="none" strike="noStrike">
              <a:solidFill>
                <a:sysClr val="windowText" lastClr="000000"/>
              </a:solidFill>
              <a:effectLst/>
              <a:latin typeface="+mn-lt"/>
              <a:ea typeface="+mn-ea"/>
              <a:cs typeface="+mn-cs"/>
            </a:rPr>
            <a:t>7140, Blvd Wilfrid-Hamel</a:t>
          </a:r>
          <a:r>
            <a:rPr lang="en-CA" sz="900">
              <a:solidFill>
                <a:sysClr val="windowText" lastClr="000000"/>
              </a:solidFill>
            </a:rPr>
            <a:t> </a:t>
          </a:r>
        </a:p>
        <a:p>
          <a:pPr algn="l">
            <a:lnSpc>
              <a:spcPts val="800"/>
            </a:lnSpc>
          </a:pPr>
          <a:r>
            <a:rPr lang="en-CA" sz="900" b="0" i="0" u="none" strike="noStrike">
              <a:solidFill>
                <a:sysClr val="windowText" lastClr="000000"/>
              </a:solidFill>
              <a:effectLst/>
              <a:latin typeface="+mn-lt"/>
              <a:ea typeface="+mn-ea"/>
              <a:cs typeface="+mn-cs"/>
            </a:rPr>
            <a:t>Quebec, QC, G2G 1B5 CANADA</a:t>
          </a:r>
        </a:p>
        <a:p>
          <a:pPr marL="0" marR="0" lvl="0" indent="0" defTabSz="914400" eaLnBrk="1" fontAlgn="auto" latinLnBrk="0" hangingPunct="1">
            <a:lnSpc>
              <a:spcPts val="800"/>
            </a:lnSpc>
            <a:spcBef>
              <a:spcPts val="0"/>
            </a:spcBef>
            <a:spcAft>
              <a:spcPts val="0"/>
            </a:spcAft>
            <a:buClrTx/>
            <a:buSzTx/>
            <a:buFontTx/>
            <a:buNone/>
            <a:tabLst/>
            <a:defRPr/>
          </a:pPr>
          <a:r>
            <a:rPr lang="en-CA" sz="900" b="0" i="0">
              <a:solidFill>
                <a:sysClr val="windowText" lastClr="000000"/>
              </a:solidFill>
              <a:effectLst/>
              <a:latin typeface="+mn-lt"/>
              <a:ea typeface="+mn-ea"/>
              <a:cs typeface="+mn-cs"/>
            </a:rPr>
            <a:t>www.regentinstruments.com</a:t>
          </a:r>
          <a:r>
            <a:rPr kumimoji="0" lang="en-CA" sz="200" b="0" i="0" u="none" strike="noStrike" kern="0" cap="none" spc="0" normalizeH="0" baseline="0" noProof="0">
              <a:ln>
                <a:noFill/>
              </a:ln>
              <a:solidFill>
                <a:prstClr val="white"/>
              </a:solidFill>
              <a:effectLst/>
              <a:uLnTx/>
              <a:uFillTx/>
              <a:latin typeface="+mn-lt"/>
              <a:ea typeface="+mn-ea"/>
              <a:cs typeface="+mn-cs"/>
            </a:rPr>
            <a:t>/?utm_source=PriceQuoteXLS</a:t>
          </a:r>
          <a:endParaRPr lang="en-CA" sz="900" b="0" i="0">
            <a:solidFill>
              <a:sysClr val="windowText" lastClr="000000"/>
            </a:solidFill>
            <a:effectLst/>
            <a:latin typeface="+mn-lt"/>
            <a:ea typeface="+mn-ea"/>
            <a:cs typeface="+mn-cs"/>
          </a:endParaRPr>
        </a:p>
        <a:p>
          <a:pPr marL="0" marR="0" lvl="0" indent="0" defTabSz="914400" eaLnBrk="1" fontAlgn="auto" latinLnBrk="0" hangingPunct="1">
            <a:lnSpc>
              <a:spcPts val="800"/>
            </a:lnSpc>
            <a:spcBef>
              <a:spcPts val="0"/>
            </a:spcBef>
            <a:spcAft>
              <a:spcPts val="0"/>
            </a:spcAft>
            <a:buClrTx/>
            <a:buSzTx/>
            <a:buFontTx/>
            <a:buNone/>
            <a:tabLst/>
            <a:defRPr/>
          </a:pPr>
          <a:r>
            <a:rPr lang="en-CA" sz="900" b="0" i="0" u="none" strike="noStrike">
              <a:solidFill>
                <a:sysClr val="windowText" lastClr="000000"/>
              </a:solidFill>
              <a:effectLst/>
              <a:latin typeface="+mn-lt"/>
              <a:ea typeface="+mn-ea"/>
              <a:cs typeface="+mn-cs"/>
            </a:rPr>
            <a:t>Tel. 418 653-1347    </a:t>
          </a:r>
          <a:r>
            <a:rPr lang="en-CA" sz="900">
              <a:solidFill>
                <a:sysClr val="windowText" lastClr="000000"/>
              </a:solidFill>
            </a:rPr>
            <a:t>  </a:t>
          </a:r>
          <a:r>
            <a:rPr lang="en-CA" sz="900" b="0" i="0">
              <a:solidFill>
                <a:sysClr val="windowText" lastClr="000000"/>
              </a:solidFill>
              <a:effectLst/>
              <a:latin typeface="+mn-lt"/>
              <a:ea typeface="+mn-ea"/>
              <a:cs typeface="+mn-cs"/>
            </a:rPr>
            <a:t>DUNS 25-526-0127</a:t>
          </a:r>
          <a:r>
            <a:rPr lang="en-CA" sz="900">
              <a:solidFill>
                <a:sysClr val="windowText" lastClr="000000"/>
              </a:solidFill>
              <a:effectLst/>
              <a:latin typeface="+mn-lt"/>
              <a:ea typeface="+mn-ea"/>
              <a:cs typeface="+mn-cs"/>
            </a:rPr>
            <a:t> </a:t>
          </a:r>
        </a:p>
        <a:p>
          <a:pPr marL="0" marR="0" lvl="0" indent="0" defTabSz="914400" eaLnBrk="1" fontAlgn="auto" latinLnBrk="0" hangingPunct="1">
            <a:lnSpc>
              <a:spcPts val="800"/>
            </a:lnSpc>
            <a:spcBef>
              <a:spcPts val="0"/>
            </a:spcBef>
            <a:spcAft>
              <a:spcPts val="0"/>
            </a:spcAft>
            <a:buClrTx/>
            <a:buSzTx/>
            <a:buFontTx/>
            <a:buNone/>
            <a:tabLst/>
            <a:defRPr/>
          </a:pPr>
          <a:r>
            <a:rPr kumimoji="0" lang="en-CA" sz="900" b="0" i="0" u="none" strike="noStrike" kern="0" cap="none" spc="0" normalizeH="0" baseline="0" noProof="0">
              <a:ln>
                <a:noFill/>
              </a:ln>
              <a:solidFill>
                <a:sysClr val="windowText" lastClr="000000"/>
              </a:solidFill>
              <a:effectLst/>
              <a:uLnTx/>
              <a:uFillTx/>
              <a:latin typeface="+mn-lt"/>
              <a:ea typeface="+mn-ea"/>
              <a:cs typeface="+mn-cs"/>
            </a:rPr>
            <a:t>Tax ID (GST):  13080 1764 RT0001</a:t>
          </a:r>
          <a:endParaRPr lang="en-CA" sz="900">
            <a:solidFill>
              <a:sysClr val="windowText" lastClr="000000"/>
            </a:solidFill>
          </a:endParaRPr>
        </a:p>
      </xdr:txBody>
    </xdr:sp>
    <xdr:clientData/>
  </xdr:twoCellAnchor>
  <xdr:twoCellAnchor>
    <xdr:from>
      <xdr:col>3</xdr:col>
      <xdr:colOff>206152</xdr:colOff>
      <xdr:row>62</xdr:row>
      <xdr:rowOff>29424</xdr:rowOff>
    </xdr:from>
    <xdr:to>
      <xdr:col>5</xdr:col>
      <xdr:colOff>391040</xdr:colOff>
      <xdr:row>63</xdr:row>
      <xdr:rowOff>41330</xdr:rowOff>
    </xdr:to>
    <xdr:sp macro="" textlink="AccountNumber">
      <xdr:nvSpPr>
        <xdr:cNvPr id="18" name="Textbox_AccountNumber1">
          <a:extLst>
            <a:ext uri="{FF2B5EF4-FFF2-40B4-BE49-F238E27FC236}">
              <a16:creationId xmlns:a16="http://schemas.microsoft.com/office/drawing/2014/main" id="{00000000-0008-0000-0100-000012000000}"/>
            </a:ext>
          </a:extLst>
        </xdr:cNvPr>
        <xdr:cNvSpPr txBox="1"/>
      </xdr:nvSpPr>
      <xdr:spPr>
        <a:xfrm>
          <a:off x="799423" y="8716224"/>
          <a:ext cx="1044860" cy="2024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a:lnSpc>
              <a:spcPts val="900"/>
            </a:lnSpc>
          </a:pPr>
          <a:fld id="{05221814-F8BD-4505-BFC9-753E7BC4DF38}" type="TxLink">
            <a:rPr lang="en-US" sz="850" b="0" i="0" u="none" strike="noStrike">
              <a:solidFill>
                <a:srgbClr val="000000"/>
              </a:solidFill>
              <a:latin typeface="Calibri"/>
              <a:cs typeface="Calibri"/>
            </a:rPr>
            <a:pPr>
              <a:lnSpc>
                <a:spcPts val="900"/>
              </a:lnSpc>
            </a:pPr>
            <a:t>49025-7301681</a:t>
          </a:fld>
          <a:endParaRPr lang="en-US" sz="850"/>
        </a:p>
      </xdr:txBody>
    </xdr:sp>
    <xdr:clientData/>
  </xdr:twoCellAnchor>
  <xdr:twoCellAnchor>
    <xdr:from>
      <xdr:col>0</xdr:col>
      <xdr:colOff>0</xdr:colOff>
      <xdr:row>60</xdr:row>
      <xdr:rowOff>200024</xdr:rowOff>
    </xdr:from>
    <xdr:to>
      <xdr:col>14</xdr:col>
      <xdr:colOff>7620</xdr:colOff>
      <xdr:row>66</xdr:row>
      <xdr:rowOff>6349</xdr:rowOff>
    </xdr:to>
    <xdr:sp macro="" textlink="">
      <xdr:nvSpPr>
        <xdr:cNvPr id="17" name="Textbox_BankInfo1En" hidden="1">
          <a:extLst>
            <a:ext uri="{FF2B5EF4-FFF2-40B4-BE49-F238E27FC236}">
              <a16:creationId xmlns:a16="http://schemas.microsoft.com/office/drawing/2014/main" id="{00000000-0008-0000-0100-000011000000}"/>
            </a:ext>
          </a:extLst>
        </xdr:cNvPr>
        <xdr:cNvSpPr txBox="1"/>
      </xdr:nvSpPr>
      <xdr:spPr>
        <a:xfrm>
          <a:off x="0" y="8553449"/>
          <a:ext cx="5551170" cy="82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marL="0" marR="0" lvl="0" indent="0" defTabSz="914400" eaLnBrk="1" fontAlgn="auto" latinLnBrk="0" hangingPunct="1">
            <a:lnSpc>
              <a:spcPts val="900"/>
            </a:lnSpc>
            <a:spcBef>
              <a:spcPts val="0"/>
            </a:spcBef>
            <a:spcAft>
              <a:spcPts val="0"/>
            </a:spcAft>
            <a:buClrTx/>
            <a:buSzTx/>
            <a:buFontTx/>
            <a:buNone/>
            <a:tabLst/>
            <a:defRPr/>
          </a:pPr>
          <a:r>
            <a:rPr kumimoji="0" lang="en-US" sz="850" b="0" i="0" u="none" strike="noStrike" kern="0" cap="none" spc="0" normalizeH="0" baseline="0" noProof="0">
              <a:ln>
                <a:noFill/>
              </a:ln>
              <a:solidFill>
                <a:prstClr val="black"/>
              </a:solidFill>
              <a:effectLst/>
              <a:uLnTx/>
              <a:uFillTx/>
              <a:latin typeface="+mn-lt"/>
              <a:ea typeface="+mn-ea"/>
              <a:cs typeface="+mn-cs"/>
            </a:rPr>
            <a:t>TD Canada Trust, </a:t>
          </a:r>
          <a:r>
            <a:rPr lang="en-US" sz="850" b="0" i="0" baseline="0">
              <a:solidFill>
                <a:schemeClr val="dk1"/>
              </a:solidFill>
              <a:effectLst/>
              <a:latin typeface="+mn-lt"/>
              <a:ea typeface="+mn-ea"/>
              <a:cs typeface="+mn-cs"/>
            </a:rPr>
            <a:t>3400 Chemin Quatre-Bourgeois, Quebec, QC, G1W 2L3, CANADA</a:t>
          </a:r>
          <a:r>
            <a:rPr kumimoji="0" lang="en-US" sz="850" b="0" i="0" u="none" strike="noStrike" kern="0" cap="none" spc="0" normalizeH="0" baseline="0" noProof="0">
              <a:ln>
                <a:noFill/>
              </a:ln>
              <a:solidFill>
                <a:prstClr val="black"/>
              </a:solidFill>
              <a:effectLst/>
              <a:uLnTx/>
              <a:uFillTx/>
              <a:latin typeface="+mn-lt"/>
              <a:ea typeface="+mn-ea"/>
              <a:cs typeface="+mn-cs"/>
            </a:rPr>
            <a:t>
</a:t>
          </a:r>
          <a:r>
            <a:rPr lang="en-US" sz="850" b="0" i="1" baseline="0">
              <a:solidFill>
                <a:schemeClr val="dk1"/>
              </a:solidFill>
              <a:effectLst/>
              <a:latin typeface="+mn-lt"/>
              <a:ea typeface="+mn-ea"/>
              <a:cs typeface="+mn-cs"/>
            </a:rPr>
            <a:t>Swift code </a:t>
          </a:r>
          <a:r>
            <a:rPr lang="en-CA" sz="850" b="0" i="0">
              <a:solidFill>
                <a:schemeClr val="dk1"/>
              </a:solidFill>
              <a:effectLst/>
              <a:latin typeface="+mn-lt"/>
              <a:ea typeface="+mn-ea"/>
              <a:cs typeface="+mn-cs"/>
            </a:rPr>
            <a:t>→</a:t>
          </a:r>
          <a:r>
            <a:rPr lang="en-US" sz="850" b="0" i="0" baseline="0">
              <a:solidFill>
                <a:schemeClr val="dk1"/>
              </a:solidFill>
              <a:effectLst/>
              <a:latin typeface="+mn-lt"/>
              <a:ea typeface="+mn-ea"/>
              <a:cs typeface="+mn-cs"/>
            </a:rPr>
            <a:t> TDOMCATTTOR           </a:t>
          </a:r>
          <a:r>
            <a:rPr lang="en-US" sz="850" b="0" i="1" baseline="0">
              <a:solidFill>
                <a:schemeClr val="dk1"/>
              </a:solidFill>
              <a:effectLst/>
              <a:latin typeface="+mn-lt"/>
              <a:ea typeface="+mn-ea"/>
              <a:cs typeface="+mn-cs"/>
            </a:rPr>
            <a:t>Beneficiary </a:t>
          </a:r>
          <a:r>
            <a:rPr lang="en-CA" sz="850" b="0" i="0">
              <a:solidFill>
                <a:schemeClr val="dk1"/>
              </a:solidFill>
              <a:effectLst/>
              <a:latin typeface="+mn-lt"/>
              <a:ea typeface="+mn-ea"/>
              <a:cs typeface="+mn-cs"/>
            </a:rPr>
            <a:t>→</a:t>
          </a:r>
          <a:r>
            <a:rPr lang="en-US" sz="850" b="0" i="0" baseline="0">
              <a:solidFill>
                <a:schemeClr val="dk1"/>
              </a:solidFill>
              <a:effectLst/>
              <a:latin typeface="+mn-lt"/>
              <a:ea typeface="+mn-ea"/>
              <a:cs typeface="+mn-cs"/>
            </a:rPr>
            <a:t> Regent Instruments Inc.</a:t>
          </a:r>
          <a:endParaRPr kumimoji="0" lang="en-US" sz="85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en-US" sz="850" b="0" i="0" u="none" strike="noStrike" kern="0" cap="none" spc="0" normalizeH="0" baseline="0" noProof="0">
              <a:ln>
                <a:noFill/>
              </a:ln>
              <a:solidFill>
                <a:prstClr val="black"/>
              </a:solidFill>
              <a:effectLst/>
              <a:uLnTx/>
              <a:uFillTx/>
              <a:latin typeface="+mn-lt"/>
              <a:ea typeface="+mn-ea"/>
              <a:cs typeface="+mn-cs"/>
            </a:rPr>
            <a:t>   004              </a:t>
          </a:r>
        </a:p>
        <a:p>
          <a:pPr marL="0" marR="0" lvl="0" indent="0" defTabSz="914400" eaLnBrk="1" fontAlgn="auto" latinLnBrk="0" hangingPunct="1">
            <a:lnSpc>
              <a:spcPts val="900"/>
            </a:lnSpc>
            <a:spcBef>
              <a:spcPts val="0"/>
            </a:spcBef>
            <a:spcAft>
              <a:spcPts val="0"/>
            </a:spcAft>
            <a:buClrTx/>
            <a:buSzTx/>
            <a:buFontTx/>
            <a:buNone/>
            <a:tabLst/>
            <a:defRPr/>
          </a:pPr>
          <a:r>
            <a:rPr kumimoji="0" lang="en-US" sz="850" b="0" i="1" u="none" strike="noStrike" kern="0" cap="none" spc="0" normalizeH="0" baseline="0" noProof="0">
              <a:ln>
                <a:noFill/>
              </a:ln>
              <a:solidFill>
                <a:prstClr val="black"/>
              </a:solidFill>
              <a:effectLst/>
              <a:uLnTx/>
              <a:uFillTx/>
              <a:latin typeface="+mn-lt"/>
              <a:ea typeface="+mn-ea"/>
              <a:cs typeface="+mn-cs"/>
            </a:rPr>
            <a:t>     ↑                          ↑             ↑ 	</a:t>
          </a:r>
          <a:r>
            <a:rPr kumimoji="0" lang="en-US" sz="850" b="0" i="1" u="none" strike="noStrike" kern="0" cap="none" spc="0" normalizeH="0" baseline="0" noProof="0">
              <a:ln>
                <a:noFill/>
              </a:ln>
              <a:solidFill>
                <a:prstClr val="black">
                  <a:lumMod val="65000"/>
                  <a:lumOff val="35000"/>
                </a:prstClr>
              </a:solidFill>
              <a:effectLst/>
              <a:uLnTx/>
              <a:uFillTx/>
              <a:latin typeface="+mn-lt"/>
              <a:ea typeface="+mn-ea"/>
              <a:cs typeface="+mn-cs"/>
            </a:rPr>
            <a:t>Do not use the IBAN but SWIFT wire tansfer system. </a:t>
          </a:r>
          <a:r>
            <a:rPr kumimoji="0" lang="en-US" sz="850" b="0" i="1"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ts val="900"/>
            </a:lnSpc>
            <a:spcBef>
              <a:spcPts val="0"/>
            </a:spcBef>
            <a:spcAft>
              <a:spcPts val="0"/>
            </a:spcAft>
            <a:buClrTx/>
            <a:buSzTx/>
            <a:buFontTx/>
            <a:buNone/>
            <a:tabLst/>
            <a:defRPr/>
          </a:pPr>
          <a:r>
            <a:rPr kumimoji="0" lang="en-US" sz="850" b="0" i="1" u="none" strike="noStrike" kern="0" cap="none" spc="0" normalizeH="0" baseline="0" noProof="0">
              <a:ln>
                <a:noFill/>
              </a:ln>
              <a:solidFill>
                <a:prstClr val="black"/>
              </a:solidFill>
              <a:effectLst/>
              <a:uLnTx/>
              <a:uFillTx/>
              <a:latin typeface="+mn-lt"/>
              <a:ea typeface="+mn-ea"/>
              <a:cs typeface="+mn-cs"/>
            </a:rPr>
            <a:t>Financial               Transit#   Account#	</a:t>
          </a:r>
          <a:r>
            <a:rPr kumimoji="0" lang="en-US" sz="850" b="0" i="1" u="none" strike="noStrike" kern="0" cap="none" spc="0" normalizeH="0" baseline="0" noProof="0">
              <a:ln>
                <a:noFill/>
              </a:ln>
              <a:solidFill>
                <a:prstClr val="black">
                  <a:lumMod val="65000"/>
                  <a:lumOff val="35000"/>
                </a:prstClr>
              </a:solidFill>
              <a:effectLst/>
              <a:uLnTx/>
              <a:uFillTx/>
              <a:latin typeface="+mn-lt"/>
              <a:ea typeface="+mn-ea"/>
              <a:cs typeface="+mn-cs"/>
            </a:rPr>
            <a:t>IBAN is for Europe, SWIFT for America and Australia.</a:t>
          </a:r>
        </a:p>
        <a:p>
          <a:pPr marL="0" marR="0" lvl="0" indent="0" defTabSz="914400" eaLnBrk="1" fontAlgn="auto" latinLnBrk="0" hangingPunct="1">
            <a:lnSpc>
              <a:spcPts val="900"/>
            </a:lnSpc>
            <a:spcBef>
              <a:spcPts val="0"/>
            </a:spcBef>
            <a:spcAft>
              <a:spcPts val="0"/>
            </a:spcAft>
            <a:buClrTx/>
            <a:buSzTx/>
            <a:buFontTx/>
            <a:buNone/>
            <a:tabLst/>
            <a:defRPr/>
          </a:pPr>
          <a:r>
            <a:rPr kumimoji="0" lang="en-US" sz="850" b="0" i="1" u="none" strike="noStrike" kern="0" cap="none" spc="0" normalizeH="0" baseline="0" noProof="0">
              <a:ln>
                <a:noFill/>
              </a:ln>
              <a:solidFill>
                <a:prstClr val="black"/>
              </a:solidFill>
              <a:effectLst/>
              <a:uLnTx/>
              <a:uFillTx/>
              <a:latin typeface="+mn-lt"/>
              <a:ea typeface="+mn-ea"/>
              <a:cs typeface="+mn-cs"/>
            </a:rPr>
            <a:t>institution#          (branch)	</a:t>
          </a:r>
          <a:endParaRPr kumimoji="0" lang="en-US" sz="850" b="0" i="1" u="none" strike="noStrike" kern="0" cap="none" spc="0" normalizeH="0" baseline="0" noProof="0">
            <a:ln>
              <a:noFill/>
            </a:ln>
            <a:solidFill>
              <a:schemeClr val="tx1">
                <a:lumMod val="65000"/>
                <a:lumOff val="35000"/>
              </a:schemeClr>
            </a:solidFill>
            <a:effectLst/>
            <a:uLnTx/>
            <a:uFillTx/>
            <a:latin typeface="+mn-lt"/>
            <a:ea typeface="+mn-ea"/>
            <a:cs typeface="+mn-cs"/>
          </a:endParaRPr>
        </a:p>
      </xdr:txBody>
    </xdr:sp>
    <xdr:clientData/>
  </xdr:twoCellAnchor>
  <xdr:twoCellAnchor>
    <xdr:from>
      <xdr:col>0</xdr:col>
      <xdr:colOff>0</xdr:colOff>
      <xdr:row>60</xdr:row>
      <xdr:rowOff>200024</xdr:rowOff>
    </xdr:from>
    <xdr:to>
      <xdr:col>14</xdr:col>
      <xdr:colOff>12016</xdr:colOff>
      <xdr:row>66</xdr:row>
      <xdr:rowOff>6349</xdr:rowOff>
    </xdr:to>
    <xdr:sp macro="" textlink="">
      <xdr:nvSpPr>
        <xdr:cNvPr id="19" name="Textbox_BankInfo1Fr">
          <a:extLst>
            <a:ext uri="{FF2B5EF4-FFF2-40B4-BE49-F238E27FC236}">
              <a16:creationId xmlns:a16="http://schemas.microsoft.com/office/drawing/2014/main" id="{00000000-0008-0000-0100-000013000000}"/>
            </a:ext>
          </a:extLst>
        </xdr:cNvPr>
        <xdr:cNvSpPr txBox="1"/>
      </xdr:nvSpPr>
      <xdr:spPr>
        <a:xfrm>
          <a:off x="0" y="8420099"/>
          <a:ext cx="5555566" cy="82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eaLnBrk="1" fontAlgn="auto" latinLnBrk="0" hangingPunct="1">
            <a:lnSpc>
              <a:spcPts val="900"/>
            </a:lnSpc>
          </a:pPr>
          <a:r>
            <a:rPr lang="en-US" sz="850" b="0" i="0" baseline="0">
              <a:solidFill>
                <a:schemeClr val="dk1"/>
              </a:solidFill>
              <a:effectLst/>
              <a:latin typeface="+mn-lt"/>
              <a:ea typeface="+mn-ea"/>
              <a:cs typeface="+mn-cs"/>
            </a:rPr>
            <a:t>TD Canada Trust, 3400 Chemin Quatre-Bourgeois, Quebec, QC, G1W 2L3, CANADA</a:t>
          </a:r>
          <a:br>
            <a:rPr lang="en-US" sz="850" b="0" i="0" baseline="0">
              <a:solidFill>
                <a:schemeClr val="dk1"/>
              </a:solidFill>
              <a:effectLst/>
              <a:latin typeface="+mn-lt"/>
              <a:ea typeface="+mn-ea"/>
              <a:cs typeface="+mn-cs"/>
            </a:rPr>
          </a:br>
          <a:r>
            <a:rPr lang="en-US" sz="850" b="0" i="1" baseline="0">
              <a:solidFill>
                <a:schemeClr val="dk1"/>
              </a:solidFill>
              <a:effectLst/>
              <a:latin typeface="+mn-lt"/>
              <a:ea typeface="+mn-ea"/>
              <a:cs typeface="+mn-cs"/>
            </a:rPr>
            <a:t>Code Swift →</a:t>
          </a:r>
          <a:r>
            <a:rPr lang="en-US" sz="850" b="0" i="0" baseline="0">
              <a:solidFill>
                <a:schemeClr val="dk1"/>
              </a:solidFill>
              <a:effectLst/>
              <a:latin typeface="+mn-lt"/>
              <a:ea typeface="+mn-ea"/>
              <a:cs typeface="+mn-cs"/>
            </a:rPr>
            <a:t> TDOMCATTTOR           </a:t>
          </a:r>
          <a:r>
            <a:rPr lang="en-US" sz="850" b="0" i="1" baseline="0">
              <a:solidFill>
                <a:schemeClr val="dk1"/>
              </a:solidFill>
              <a:effectLst/>
              <a:latin typeface="+mn-lt"/>
              <a:ea typeface="+mn-ea"/>
              <a:cs typeface="+mn-cs"/>
            </a:rPr>
            <a:t>Bénéficiaire →</a:t>
          </a:r>
          <a:r>
            <a:rPr lang="en-US" sz="850" b="0" i="0" baseline="0">
              <a:solidFill>
                <a:schemeClr val="dk1"/>
              </a:solidFill>
              <a:effectLst/>
              <a:latin typeface="+mn-lt"/>
              <a:ea typeface="+mn-ea"/>
              <a:cs typeface="+mn-cs"/>
            </a:rPr>
            <a:t> Regent Instruments Inc.</a:t>
          </a:r>
          <a:endParaRPr lang="en-CA" sz="850">
            <a:effectLst/>
          </a:endParaRPr>
        </a:p>
        <a:p>
          <a:pPr eaLnBrk="1" fontAlgn="auto" latinLnBrk="0" hangingPunct="1">
            <a:lnSpc>
              <a:spcPts val="900"/>
            </a:lnSpc>
          </a:pPr>
          <a:r>
            <a:rPr lang="en-US" sz="850" b="0" i="0" baseline="0">
              <a:solidFill>
                <a:schemeClr val="dk1"/>
              </a:solidFill>
              <a:effectLst/>
              <a:latin typeface="+mn-lt"/>
              <a:ea typeface="+mn-ea"/>
              <a:cs typeface="+mn-cs"/>
            </a:rPr>
            <a:t>    004              </a:t>
          </a:r>
        </a:p>
        <a:p>
          <a:pPr eaLnBrk="1" fontAlgn="auto" latinLnBrk="0" hangingPunct="1">
            <a:lnSpc>
              <a:spcPts val="900"/>
            </a:lnSpc>
          </a:pPr>
          <a:r>
            <a:rPr lang="en-CA" sz="850">
              <a:effectLst/>
            </a:rPr>
            <a:t>     ↑                          ↑             ↑ 	</a:t>
          </a:r>
          <a:r>
            <a:rPr kumimoji="0" lang="en-US" sz="850" b="0" i="1" u="none" strike="noStrike" kern="0" cap="none" spc="0" normalizeH="0" baseline="0" noProof="0">
              <a:ln>
                <a:noFill/>
              </a:ln>
              <a:solidFill>
                <a:prstClr val="black">
                  <a:lumMod val="65000"/>
                  <a:lumOff val="35000"/>
                </a:prstClr>
              </a:solidFill>
              <a:effectLst/>
              <a:uLnTx/>
              <a:uFillTx/>
              <a:latin typeface="+mn-lt"/>
              <a:ea typeface="+mn-ea"/>
              <a:cs typeface="+mn-cs"/>
            </a:rPr>
            <a:t>N'utilisez pas l'IBAN mais le système de virement SWIFT</a:t>
          </a:r>
          <a:endParaRPr lang="en-CA" sz="850">
            <a:effectLst/>
          </a:endParaRPr>
        </a:p>
        <a:p>
          <a:pPr eaLnBrk="1" fontAlgn="auto" latinLnBrk="0" hangingPunct="1">
            <a:lnSpc>
              <a:spcPts val="900"/>
            </a:lnSpc>
          </a:pPr>
          <a:r>
            <a:rPr lang="en-US" sz="850" b="0" i="1" baseline="0">
              <a:solidFill>
                <a:schemeClr val="dk1"/>
              </a:solidFill>
              <a:effectLst/>
              <a:latin typeface="+mn-lt"/>
              <a:ea typeface="+mn-ea"/>
              <a:cs typeface="+mn-cs"/>
            </a:rPr>
            <a:t>#Institution         #Transit   #Compte	</a:t>
          </a:r>
          <a:r>
            <a:rPr kumimoji="0" lang="en-US" sz="850" b="0" i="1" u="none" strike="noStrike" kern="0" cap="none" spc="0" normalizeH="0" baseline="0" noProof="0">
              <a:ln>
                <a:noFill/>
              </a:ln>
              <a:solidFill>
                <a:prstClr val="black">
                  <a:lumMod val="65000"/>
                  <a:lumOff val="35000"/>
                </a:prstClr>
              </a:solidFill>
              <a:effectLst/>
              <a:uLnTx/>
              <a:uFillTx/>
              <a:latin typeface="+mn-lt"/>
              <a:ea typeface="+mn-ea"/>
              <a:cs typeface="+mn-cs"/>
            </a:rPr>
            <a:t>L'IBAN est pour l'Europe, SWIFT pour l'Amérique et l'Australie.</a:t>
          </a:r>
          <a:r>
            <a:rPr lang="en-US" sz="850" b="0" i="1" baseline="0">
              <a:solidFill>
                <a:schemeClr val="dk1"/>
              </a:solidFill>
              <a:effectLst/>
              <a:latin typeface="+mn-lt"/>
              <a:ea typeface="+mn-ea"/>
              <a:cs typeface="+mn-cs"/>
            </a:rPr>
            <a:t>	</a:t>
          </a:r>
          <a:endParaRPr lang="en-CA" sz="850">
            <a:effectLst/>
          </a:endParaRPr>
        </a:p>
        <a:p>
          <a:pPr eaLnBrk="1" fontAlgn="auto" latinLnBrk="0" hangingPunct="1">
            <a:lnSpc>
              <a:spcPts val="900"/>
            </a:lnSpc>
          </a:pPr>
          <a:r>
            <a:rPr lang="en-US" sz="850" b="0" i="1" baseline="0">
              <a:solidFill>
                <a:schemeClr val="dk1"/>
              </a:solidFill>
              <a:effectLst/>
              <a:latin typeface="+mn-lt"/>
              <a:ea typeface="+mn-ea"/>
              <a:cs typeface="+mn-cs"/>
            </a:rPr>
            <a:t>financière         (succursale)	</a:t>
          </a:r>
          <a:endParaRPr lang="en-CA" sz="850">
            <a:solidFill>
              <a:schemeClr val="tx1">
                <a:lumMod val="65000"/>
                <a:lumOff val="35000"/>
              </a:schemeClr>
            </a:solidFill>
            <a:effectLst/>
          </a:endParaRPr>
        </a:p>
      </xdr:txBody>
    </xdr:sp>
    <xdr:clientData/>
  </xdr:twoCellAnchor>
  <xdr:twoCellAnchor>
    <xdr:from>
      <xdr:col>21</xdr:col>
      <xdr:colOff>205132</xdr:colOff>
      <xdr:row>62</xdr:row>
      <xdr:rowOff>29424</xdr:rowOff>
    </xdr:from>
    <xdr:to>
      <xdr:col>23</xdr:col>
      <xdr:colOff>386107</xdr:colOff>
      <xdr:row>63</xdr:row>
      <xdr:rowOff>38949</xdr:rowOff>
    </xdr:to>
    <xdr:sp macro="" textlink="AccountNumber">
      <xdr:nvSpPr>
        <xdr:cNvPr id="11" name="Textbox_AccountNumber2">
          <a:extLst>
            <a:ext uri="{FF2B5EF4-FFF2-40B4-BE49-F238E27FC236}">
              <a16:creationId xmlns:a16="http://schemas.microsoft.com/office/drawing/2014/main" id="{00000000-0008-0000-0100-00000B000000}"/>
            </a:ext>
          </a:extLst>
        </xdr:cNvPr>
        <xdr:cNvSpPr txBox="1"/>
      </xdr:nvSpPr>
      <xdr:spPr>
        <a:xfrm>
          <a:off x="8124489" y="8716224"/>
          <a:ext cx="1040947"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a:lnSpc>
              <a:spcPts val="900"/>
            </a:lnSpc>
          </a:pPr>
          <a:fld id="{05221814-F8BD-4505-BFC9-753E7BC4DF38}" type="TxLink">
            <a:rPr lang="en-US" sz="850" b="0" i="0" u="none" strike="noStrike">
              <a:solidFill>
                <a:srgbClr val="000000"/>
              </a:solidFill>
              <a:latin typeface="Calibri"/>
              <a:cs typeface="Calibri"/>
            </a:rPr>
            <a:pPr>
              <a:lnSpc>
                <a:spcPts val="900"/>
              </a:lnSpc>
            </a:pPr>
            <a:t>49025-7301681</a:t>
          </a:fld>
          <a:endParaRPr lang="en-US" sz="850"/>
        </a:p>
      </xdr:txBody>
    </xdr:sp>
    <xdr:clientData/>
  </xdr:twoCellAnchor>
  <xdr:twoCellAnchor>
    <xdr:from>
      <xdr:col>17</xdr:col>
      <xdr:colOff>55126</xdr:colOff>
      <xdr:row>60</xdr:row>
      <xdr:rowOff>200024</xdr:rowOff>
    </xdr:from>
    <xdr:to>
      <xdr:col>32</xdr:col>
      <xdr:colOff>7270</xdr:colOff>
      <xdr:row>66</xdr:row>
      <xdr:rowOff>6349</xdr:rowOff>
    </xdr:to>
    <xdr:sp macro="" textlink="">
      <xdr:nvSpPr>
        <xdr:cNvPr id="27" name="Textbox_BankInfo2En" hidden="1">
          <a:extLst>
            <a:ext uri="{FF2B5EF4-FFF2-40B4-BE49-F238E27FC236}">
              <a16:creationId xmlns:a16="http://schemas.microsoft.com/office/drawing/2014/main" id="{00000000-0008-0000-0100-00001B000000}"/>
            </a:ext>
          </a:extLst>
        </xdr:cNvPr>
        <xdr:cNvSpPr txBox="1"/>
      </xdr:nvSpPr>
      <xdr:spPr>
        <a:xfrm>
          <a:off x="7294126" y="8420099"/>
          <a:ext cx="5552844" cy="82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eaLnBrk="1" fontAlgn="auto" latinLnBrk="0" hangingPunct="1">
            <a:lnSpc>
              <a:spcPts val="900"/>
            </a:lnSpc>
          </a:pPr>
          <a:r>
            <a:rPr lang="en-US" sz="850" b="0" i="0" baseline="0">
              <a:solidFill>
                <a:schemeClr val="dk1"/>
              </a:solidFill>
              <a:effectLst/>
              <a:latin typeface="+mn-lt"/>
              <a:ea typeface="+mn-ea"/>
              <a:cs typeface="+mn-cs"/>
            </a:rPr>
            <a:t>TD Canada Trust, 3400 Chemin Quatre-Bourgeois, Quebec, QC, G1W 2L3, CANADA</a:t>
          </a:r>
          <a:br>
            <a:rPr lang="en-US" sz="850" b="0" i="0" baseline="0">
              <a:solidFill>
                <a:schemeClr val="dk1"/>
              </a:solidFill>
              <a:effectLst/>
              <a:latin typeface="+mn-lt"/>
              <a:ea typeface="+mn-ea"/>
              <a:cs typeface="+mn-cs"/>
            </a:rPr>
          </a:br>
          <a:r>
            <a:rPr lang="en-US" sz="850" b="0" i="1" baseline="0">
              <a:solidFill>
                <a:schemeClr val="dk1"/>
              </a:solidFill>
              <a:effectLst/>
              <a:latin typeface="+mn-lt"/>
              <a:ea typeface="+mn-ea"/>
              <a:cs typeface="+mn-cs"/>
            </a:rPr>
            <a:t>Swift code →</a:t>
          </a:r>
          <a:r>
            <a:rPr lang="en-US" sz="850" b="0" i="0" baseline="0">
              <a:solidFill>
                <a:schemeClr val="dk1"/>
              </a:solidFill>
              <a:effectLst/>
              <a:latin typeface="+mn-lt"/>
              <a:ea typeface="+mn-ea"/>
              <a:cs typeface="+mn-cs"/>
            </a:rPr>
            <a:t> TDOMCATTTOR           </a:t>
          </a:r>
          <a:r>
            <a:rPr lang="en-US" sz="850" b="0" i="1" baseline="0">
              <a:solidFill>
                <a:schemeClr val="dk1"/>
              </a:solidFill>
              <a:effectLst/>
              <a:latin typeface="+mn-lt"/>
              <a:ea typeface="+mn-ea"/>
              <a:cs typeface="+mn-cs"/>
            </a:rPr>
            <a:t>Beneficiary →</a:t>
          </a:r>
          <a:r>
            <a:rPr lang="en-US" sz="850" b="0" i="0" baseline="0">
              <a:solidFill>
                <a:schemeClr val="dk1"/>
              </a:solidFill>
              <a:effectLst/>
              <a:latin typeface="+mn-lt"/>
              <a:ea typeface="+mn-ea"/>
              <a:cs typeface="+mn-cs"/>
            </a:rPr>
            <a:t> Regent Instruments Inc.</a:t>
          </a:r>
          <a:endParaRPr lang="en-CA" sz="850">
            <a:effectLst/>
          </a:endParaRPr>
        </a:p>
        <a:p>
          <a:pPr eaLnBrk="1" fontAlgn="auto" latinLnBrk="0" hangingPunct="1">
            <a:lnSpc>
              <a:spcPts val="900"/>
            </a:lnSpc>
          </a:pPr>
          <a:r>
            <a:rPr lang="en-US" sz="850" b="0" i="0" baseline="0">
              <a:solidFill>
                <a:schemeClr val="dk1"/>
              </a:solidFill>
              <a:effectLst/>
              <a:latin typeface="+mn-lt"/>
              <a:ea typeface="+mn-ea"/>
              <a:cs typeface="+mn-cs"/>
            </a:rPr>
            <a:t>    004              </a:t>
          </a:r>
          <a:endParaRPr lang="en-CA" sz="850">
            <a:effectLst/>
          </a:endParaRPr>
        </a:p>
        <a:p>
          <a:pPr marL="0" marR="0" lvl="0" indent="0" defTabSz="914400" eaLnBrk="1" fontAlgn="auto" latinLnBrk="0" hangingPunct="1">
            <a:lnSpc>
              <a:spcPts val="900"/>
            </a:lnSpc>
            <a:spcBef>
              <a:spcPts val="0"/>
            </a:spcBef>
            <a:spcAft>
              <a:spcPts val="0"/>
            </a:spcAft>
            <a:buClrTx/>
            <a:buSzTx/>
            <a:buFontTx/>
            <a:buNone/>
            <a:tabLst/>
            <a:defRPr/>
          </a:pPr>
          <a:r>
            <a:rPr kumimoji="0" lang="en-US" sz="850" b="0" i="1" u="none" strike="noStrike" kern="0" cap="none" spc="0" normalizeH="0" baseline="0" noProof="0">
              <a:ln>
                <a:noFill/>
              </a:ln>
              <a:solidFill>
                <a:prstClr val="black"/>
              </a:solidFill>
              <a:effectLst/>
              <a:uLnTx/>
              <a:uFillTx/>
              <a:latin typeface="+mn-lt"/>
              <a:ea typeface="+mn-ea"/>
              <a:cs typeface="+mn-cs"/>
            </a:rPr>
            <a:t>     ↑                          ↑             ↑ 	</a:t>
          </a:r>
          <a:r>
            <a:rPr kumimoji="0" lang="en-US" sz="850" b="0" i="1" u="none" strike="noStrike" kern="0" cap="none" spc="0" normalizeH="0" baseline="0" noProof="0">
              <a:ln>
                <a:noFill/>
              </a:ln>
              <a:solidFill>
                <a:prstClr val="black">
                  <a:lumMod val="65000"/>
                  <a:lumOff val="35000"/>
                </a:prstClr>
              </a:solidFill>
              <a:effectLst/>
              <a:uLnTx/>
              <a:uFillTx/>
              <a:latin typeface="+mn-lt"/>
              <a:ea typeface="+mn-ea"/>
              <a:cs typeface="+mn-cs"/>
            </a:rPr>
            <a:t>Do not use the IBAN but SWIFT wire tansfer system. </a:t>
          </a:r>
          <a:r>
            <a:rPr kumimoji="0" lang="en-US" sz="850" b="0" i="1"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ts val="900"/>
            </a:lnSpc>
            <a:spcBef>
              <a:spcPts val="0"/>
            </a:spcBef>
            <a:spcAft>
              <a:spcPts val="0"/>
            </a:spcAft>
            <a:buClrTx/>
            <a:buSzTx/>
            <a:buFontTx/>
            <a:buNone/>
            <a:tabLst/>
            <a:defRPr/>
          </a:pPr>
          <a:r>
            <a:rPr kumimoji="0" lang="en-US" sz="850" b="0" i="1" u="none" strike="noStrike" kern="0" cap="none" spc="0" normalizeH="0" baseline="0" noProof="0">
              <a:ln>
                <a:noFill/>
              </a:ln>
              <a:solidFill>
                <a:prstClr val="black"/>
              </a:solidFill>
              <a:effectLst/>
              <a:uLnTx/>
              <a:uFillTx/>
              <a:latin typeface="+mn-lt"/>
              <a:ea typeface="+mn-ea"/>
              <a:cs typeface="+mn-cs"/>
            </a:rPr>
            <a:t>Financial               Transit#   Account#	</a:t>
          </a:r>
          <a:r>
            <a:rPr kumimoji="0" lang="en-US" sz="850" b="0" i="1" u="none" strike="noStrike" kern="0" cap="none" spc="0" normalizeH="0" baseline="0" noProof="0">
              <a:ln>
                <a:noFill/>
              </a:ln>
              <a:solidFill>
                <a:prstClr val="black">
                  <a:lumMod val="65000"/>
                  <a:lumOff val="35000"/>
                </a:prstClr>
              </a:solidFill>
              <a:effectLst/>
              <a:uLnTx/>
              <a:uFillTx/>
              <a:latin typeface="+mn-lt"/>
              <a:ea typeface="+mn-ea"/>
              <a:cs typeface="+mn-cs"/>
            </a:rPr>
            <a:t>IBAN is for Europe, SWIFT for America and Australia.</a:t>
          </a:r>
        </a:p>
        <a:p>
          <a:pPr marL="0" marR="0" lvl="0" indent="0" defTabSz="914400" eaLnBrk="1" fontAlgn="auto" latinLnBrk="0" hangingPunct="1">
            <a:lnSpc>
              <a:spcPts val="900"/>
            </a:lnSpc>
            <a:spcBef>
              <a:spcPts val="0"/>
            </a:spcBef>
            <a:spcAft>
              <a:spcPts val="0"/>
            </a:spcAft>
            <a:buClrTx/>
            <a:buSzTx/>
            <a:buFontTx/>
            <a:buNone/>
            <a:tabLst/>
            <a:defRPr/>
          </a:pPr>
          <a:r>
            <a:rPr kumimoji="0" lang="en-US" sz="850" b="0" i="1" u="none" strike="noStrike" kern="0" cap="none" spc="0" normalizeH="0" baseline="0" noProof="0">
              <a:ln>
                <a:noFill/>
              </a:ln>
              <a:solidFill>
                <a:prstClr val="black"/>
              </a:solidFill>
              <a:effectLst/>
              <a:uLnTx/>
              <a:uFillTx/>
              <a:latin typeface="+mn-lt"/>
              <a:ea typeface="+mn-ea"/>
              <a:cs typeface="+mn-cs"/>
            </a:rPr>
            <a:t>institution#          (branch)	</a:t>
          </a:r>
          <a:endParaRPr kumimoji="0" lang="en-US" sz="850" b="0" i="1" u="none" strike="noStrike" kern="0" cap="none" spc="0" normalizeH="0" baseline="0" noProof="0">
            <a:ln>
              <a:noFill/>
            </a:ln>
            <a:solidFill>
              <a:prstClr val="black">
                <a:lumMod val="65000"/>
                <a:lumOff val="35000"/>
              </a:prstClr>
            </a:solidFill>
            <a:effectLst/>
            <a:uLnTx/>
            <a:uFillTx/>
            <a:latin typeface="+mn-lt"/>
            <a:ea typeface="+mn-ea"/>
            <a:cs typeface="+mn-cs"/>
          </a:endParaRPr>
        </a:p>
      </xdr:txBody>
    </xdr:sp>
    <xdr:clientData/>
  </xdr:twoCellAnchor>
  <xdr:twoCellAnchor>
    <xdr:from>
      <xdr:col>18</xdr:col>
      <xdr:colOff>697</xdr:colOff>
      <xdr:row>60</xdr:row>
      <xdr:rowOff>200024</xdr:rowOff>
    </xdr:from>
    <xdr:to>
      <xdr:col>32</xdr:col>
      <xdr:colOff>12713</xdr:colOff>
      <xdr:row>66</xdr:row>
      <xdr:rowOff>6349</xdr:rowOff>
    </xdr:to>
    <xdr:sp macro="" textlink="">
      <xdr:nvSpPr>
        <xdr:cNvPr id="15" name="Textbox_BankInfo2Fr">
          <a:extLst>
            <a:ext uri="{FF2B5EF4-FFF2-40B4-BE49-F238E27FC236}">
              <a16:creationId xmlns:a16="http://schemas.microsoft.com/office/drawing/2014/main" id="{00000000-0008-0000-0100-00000F000000}"/>
            </a:ext>
          </a:extLst>
        </xdr:cNvPr>
        <xdr:cNvSpPr txBox="1"/>
      </xdr:nvSpPr>
      <xdr:spPr>
        <a:xfrm>
          <a:off x="7296847" y="8420099"/>
          <a:ext cx="5555566" cy="82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eaLnBrk="1" fontAlgn="auto" latinLnBrk="0" hangingPunct="1">
            <a:lnSpc>
              <a:spcPts val="900"/>
            </a:lnSpc>
          </a:pPr>
          <a:r>
            <a:rPr lang="en-US" sz="850" b="0" i="0" baseline="0">
              <a:solidFill>
                <a:schemeClr val="dk1"/>
              </a:solidFill>
              <a:effectLst/>
              <a:latin typeface="+mn-lt"/>
              <a:ea typeface="+mn-ea"/>
              <a:cs typeface="+mn-cs"/>
            </a:rPr>
            <a:t>TD Canada Trust, 3400 Chemin Quatre-Bourgeois, Quebec, QC, G1W 2L3, CANADA</a:t>
          </a:r>
          <a:br>
            <a:rPr lang="en-US" sz="850" b="0" i="0" baseline="0">
              <a:solidFill>
                <a:schemeClr val="dk1"/>
              </a:solidFill>
              <a:effectLst/>
              <a:latin typeface="+mn-lt"/>
              <a:ea typeface="+mn-ea"/>
              <a:cs typeface="+mn-cs"/>
            </a:rPr>
          </a:br>
          <a:r>
            <a:rPr lang="en-US" sz="850" b="0" i="1" baseline="0">
              <a:solidFill>
                <a:schemeClr val="dk1"/>
              </a:solidFill>
              <a:effectLst/>
              <a:latin typeface="+mn-lt"/>
              <a:ea typeface="+mn-ea"/>
              <a:cs typeface="+mn-cs"/>
            </a:rPr>
            <a:t>Code Swift →</a:t>
          </a:r>
          <a:r>
            <a:rPr lang="en-US" sz="850" b="0" i="0" baseline="0">
              <a:solidFill>
                <a:schemeClr val="dk1"/>
              </a:solidFill>
              <a:effectLst/>
              <a:latin typeface="+mn-lt"/>
              <a:ea typeface="+mn-ea"/>
              <a:cs typeface="+mn-cs"/>
            </a:rPr>
            <a:t> TDOMCATTTOR           </a:t>
          </a:r>
          <a:r>
            <a:rPr lang="en-US" sz="850" b="0" i="1" baseline="0">
              <a:solidFill>
                <a:schemeClr val="dk1"/>
              </a:solidFill>
              <a:effectLst/>
              <a:latin typeface="+mn-lt"/>
              <a:ea typeface="+mn-ea"/>
              <a:cs typeface="+mn-cs"/>
            </a:rPr>
            <a:t>Bénéficiaire →</a:t>
          </a:r>
          <a:r>
            <a:rPr lang="en-US" sz="850" b="0" i="0" baseline="0">
              <a:solidFill>
                <a:schemeClr val="dk1"/>
              </a:solidFill>
              <a:effectLst/>
              <a:latin typeface="+mn-lt"/>
              <a:ea typeface="+mn-ea"/>
              <a:cs typeface="+mn-cs"/>
            </a:rPr>
            <a:t> Regent Instruments Inc.</a:t>
          </a:r>
          <a:endParaRPr lang="en-CA" sz="850">
            <a:effectLst/>
          </a:endParaRPr>
        </a:p>
        <a:p>
          <a:pPr eaLnBrk="1" fontAlgn="auto" latinLnBrk="0" hangingPunct="1">
            <a:lnSpc>
              <a:spcPts val="900"/>
            </a:lnSpc>
          </a:pPr>
          <a:r>
            <a:rPr lang="en-US" sz="850" b="0" i="0" baseline="0">
              <a:solidFill>
                <a:schemeClr val="dk1"/>
              </a:solidFill>
              <a:effectLst/>
              <a:latin typeface="+mn-lt"/>
              <a:ea typeface="+mn-ea"/>
              <a:cs typeface="+mn-cs"/>
            </a:rPr>
            <a:t>    004              </a:t>
          </a:r>
        </a:p>
        <a:p>
          <a:pPr eaLnBrk="1" fontAlgn="auto" latinLnBrk="0" hangingPunct="1">
            <a:lnSpc>
              <a:spcPts val="900"/>
            </a:lnSpc>
          </a:pPr>
          <a:r>
            <a:rPr lang="en-CA" sz="850">
              <a:effectLst/>
            </a:rPr>
            <a:t>     ↑                          ↑             ↑ 	</a:t>
          </a:r>
          <a:r>
            <a:rPr kumimoji="0" lang="en-US" sz="850" b="0" i="1" u="none" strike="noStrike" kern="0" cap="none" spc="0" normalizeH="0" baseline="0" noProof="0">
              <a:ln>
                <a:noFill/>
              </a:ln>
              <a:solidFill>
                <a:prstClr val="black">
                  <a:lumMod val="65000"/>
                  <a:lumOff val="35000"/>
                </a:prstClr>
              </a:solidFill>
              <a:effectLst/>
              <a:uLnTx/>
              <a:uFillTx/>
              <a:latin typeface="+mn-lt"/>
              <a:ea typeface="+mn-ea"/>
              <a:cs typeface="+mn-cs"/>
            </a:rPr>
            <a:t>N'utilisez pas l'IBAN mais le système de virement SWIFT.</a:t>
          </a:r>
          <a:endParaRPr lang="en-CA" sz="850">
            <a:effectLst/>
          </a:endParaRPr>
        </a:p>
        <a:p>
          <a:pPr eaLnBrk="1" fontAlgn="auto" latinLnBrk="0" hangingPunct="1">
            <a:lnSpc>
              <a:spcPts val="900"/>
            </a:lnSpc>
          </a:pPr>
          <a:r>
            <a:rPr lang="en-US" sz="850" b="0" i="1" baseline="0">
              <a:solidFill>
                <a:schemeClr val="dk1"/>
              </a:solidFill>
              <a:effectLst/>
              <a:latin typeface="+mn-lt"/>
              <a:ea typeface="+mn-ea"/>
              <a:cs typeface="+mn-cs"/>
            </a:rPr>
            <a:t>#Institution         #Transit   #Compte	</a:t>
          </a:r>
          <a:r>
            <a:rPr kumimoji="0" lang="en-US" sz="850" b="0" i="1" u="none" strike="noStrike" kern="0" cap="none" spc="0" normalizeH="0" baseline="0" noProof="0">
              <a:ln>
                <a:noFill/>
              </a:ln>
              <a:solidFill>
                <a:prstClr val="black">
                  <a:lumMod val="65000"/>
                  <a:lumOff val="35000"/>
                </a:prstClr>
              </a:solidFill>
              <a:effectLst/>
              <a:uLnTx/>
              <a:uFillTx/>
              <a:latin typeface="+mn-lt"/>
              <a:ea typeface="+mn-ea"/>
              <a:cs typeface="+mn-cs"/>
            </a:rPr>
            <a:t>L'IBAN est pour l'Europe, SWIFT pour l'Amérique et l'Australie.</a:t>
          </a:r>
          <a:r>
            <a:rPr lang="en-US" sz="850" b="0" i="1" baseline="0">
              <a:solidFill>
                <a:schemeClr val="dk1"/>
              </a:solidFill>
              <a:effectLst/>
              <a:latin typeface="+mn-lt"/>
              <a:ea typeface="+mn-ea"/>
              <a:cs typeface="+mn-cs"/>
            </a:rPr>
            <a:t>	</a:t>
          </a:r>
        </a:p>
        <a:p>
          <a:pPr eaLnBrk="1" fontAlgn="auto" latinLnBrk="0" hangingPunct="1">
            <a:lnSpc>
              <a:spcPts val="900"/>
            </a:lnSpc>
          </a:pPr>
          <a:r>
            <a:rPr lang="en-US" sz="850" b="0" i="1" baseline="0">
              <a:solidFill>
                <a:schemeClr val="dk1"/>
              </a:solidFill>
              <a:effectLst/>
              <a:latin typeface="+mn-lt"/>
              <a:ea typeface="+mn-ea"/>
              <a:cs typeface="+mn-cs"/>
            </a:rPr>
            <a:t>financière         (succursale)	</a:t>
          </a:r>
          <a:endParaRPr lang="en-US" sz="850" b="0" i="1" baseline="0">
            <a:solidFill>
              <a:schemeClr val="tx1">
                <a:lumMod val="65000"/>
                <a:lumOff val="35000"/>
              </a:schemeClr>
            </a:solidFill>
            <a:effectLst/>
            <a:latin typeface="+mn-lt"/>
            <a:ea typeface="+mn-ea"/>
            <a:cs typeface="+mn-cs"/>
          </a:endParaRPr>
        </a:p>
        <a:p>
          <a:pPr>
            <a:lnSpc>
              <a:spcPts val="900"/>
            </a:lnSpc>
          </a:pPr>
          <a:endParaRPr lang="en-US" sz="850"/>
        </a:p>
      </xdr:txBody>
    </xdr:sp>
    <xdr:clientData/>
  </xdr:twoCellAnchor>
  <xdr:twoCellAnchor editAs="oneCell">
    <xdr:from>
      <xdr:col>1</xdr:col>
      <xdr:colOff>171554</xdr:colOff>
      <xdr:row>70</xdr:row>
      <xdr:rowOff>74842</xdr:rowOff>
    </xdr:from>
    <xdr:to>
      <xdr:col>5</xdr:col>
      <xdr:colOff>159362</xdr:colOff>
      <xdr:row>73</xdr:row>
      <xdr:rowOff>183427</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3"/>
        <a:srcRect/>
        <a:stretch/>
      </xdr:blipFill>
      <xdr:spPr>
        <a:xfrm>
          <a:off x="228704" y="10114192"/>
          <a:ext cx="1378458" cy="708660"/>
        </a:xfrm>
        <a:prstGeom prst="rect">
          <a:avLst/>
        </a:prstGeom>
      </xdr:spPr>
    </xdr:pic>
    <xdr:clientData/>
  </xdr:twoCellAnchor>
  <xdr:twoCellAnchor>
    <xdr:from>
      <xdr:col>0</xdr:col>
      <xdr:colOff>0</xdr:colOff>
      <xdr:row>56</xdr:row>
      <xdr:rowOff>152334</xdr:rowOff>
    </xdr:from>
    <xdr:to>
      <xdr:col>13</xdr:col>
      <xdr:colOff>6569</xdr:colOff>
      <xdr:row>61</xdr:row>
      <xdr:rowOff>33130</xdr:rowOff>
    </xdr:to>
    <xdr:sp macro="" textlink="">
      <xdr:nvSpPr>
        <xdr:cNvPr id="23" name="Textbox_Comments1Fr">
          <a:extLst>
            <a:ext uri="{FF2B5EF4-FFF2-40B4-BE49-F238E27FC236}">
              <a16:creationId xmlns:a16="http://schemas.microsoft.com/office/drawing/2014/main" id="{00000000-0008-0000-0100-000017000000}"/>
            </a:ext>
          </a:extLst>
        </xdr:cNvPr>
        <xdr:cNvSpPr txBox="1"/>
      </xdr:nvSpPr>
      <xdr:spPr>
        <a:xfrm>
          <a:off x="0" y="7594972"/>
          <a:ext cx="5182914" cy="8004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endParaRPr lang="en-CA" sz="850" b="1">
            <a:solidFill>
              <a:srgbClr val="FF0000"/>
            </a:solidFill>
          </a:endParaRPr>
        </a:p>
        <a:p>
          <a:pPr>
            <a:lnSpc>
              <a:spcPts val="1100"/>
            </a:lnSpc>
          </a:pPr>
          <a:r>
            <a:rPr lang="en-CA" sz="850" b="1">
              <a:solidFill>
                <a:srgbClr val="FF0000"/>
              </a:solidFill>
            </a:rPr>
            <a:t>NON COMPRIS DANS LES FRAIS DE PORT:</a:t>
          </a:r>
          <a:r>
            <a:rPr lang="en-CA" sz="850" b="1">
              <a:solidFill>
                <a:sysClr val="windowText" lastClr="000000"/>
              </a:solidFill>
            </a:rPr>
            <a:t> </a:t>
          </a:r>
          <a:r>
            <a:rPr lang="en-CA" sz="750" b="1">
              <a:solidFill>
                <a:sysClr val="windowText" lastClr="000000"/>
              </a:solidFill>
            </a:rPr>
            <a:t>taxes locales, TVA, frais de courtage et le dédouanement ou</a:t>
          </a:r>
          <a:r>
            <a:rPr lang="en-CA" sz="750" b="1" baseline="0">
              <a:solidFill>
                <a:sysClr val="windowText" lastClr="000000"/>
              </a:solidFill>
            </a:rPr>
            <a:t> tout autre frais imposé par le pays importateur</a:t>
          </a:r>
          <a:r>
            <a:rPr lang="en-CA" sz="750" b="1">
              <a:solidFill>
                <a:sysClr val="windowText" lastClr="000000"/>
              </a:solidFill>
            </a:rPr>
            <a:t>. </a:t>
          </a:r>
          <a:r>
            <a:rPr lang="en-CA" sz="750" b="0"/>
            <a:t>Le transporteur (Fedex, UPS, DHL...)</a:t>
          </a:r>
          <a:r>
            <a:rPr lang="en-CA" sz="750" b="0" baseline="0"/>
            <a:t> retiendra la marchandise à la douane et vous contactera (par téléphone ou courriel) pour vous demander de payer ces frais. S'ils sont payés, ils livrent, sinon ils renvoient la  				marchandise à l'expéditeur ou la détruisent.</a:t>
          </a:r>
          <a:endParaRPr lang="en-CA" sz="750" b="0"/>
        </a:p>
      </xdr:txBody>
    </xdr:sp>
    <xdr:clientData/>
  </xdr:twoCellAnchor>
  <xdr:twoCellAnchor>
    <xdr:from>
      <xdr:col>18</xdr:col>
      <xdr:colOff>0</xdr:colOff>
      <xdr:row>56</xdr:row>
      <xdr:rowOff>152332</xdr:rowOff>
    </xdr:from>
    <xdr:to>
      <xdr:col>30</xdr:col>
      <xdr:colOff>402980</xdr:colOff>
      <xdr:row>61</xdr:row>
      <xdr:rowOff>38099</xdr:rowOff>
    </xdr:to>
    <xdr:sp macro="" textlink="">
      <xdr:nvSpPr>
        <xdr:cNvPr id="24" name="Textbox_Comments2Fr">
          <a:extLst>
            <a:ext uri="{FF2B5EF4-FFF2-40B4-BE49-F238E27FC236}">
              <a16:creationId xmlns:a16="http://schemas.microsoft.com/office/drawing/2014/main" id="{00000000-0008-0000-0100-000018000000}"/>
            </a:ext>
          </a:extLst>
        </xdr:cNvPr>
        <xdr:cNvSpPr txBox="1"/>
      </xdr:nvSpPr>
      <xdr:spPr>
        <a:xfrm>
          <a:off x="7297615" y="7647774"/>
          <a:ext cx="5136173" cy="808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endParaRPr lang="en-CA" sz="850" b="1">
            <a:solidFill>
              <a:srgbClr val="FF0000"/>
            </a:solidFill>
          </a:endParaRPr>
        </a:p>
        <a:p>
          <a:pPr>
            <a:lnSpc>
              <a:spcPts val="1100"/>
            </a:lnSpc>
          </a:pPr>
          <a:r>
            <a:rPr lang="en-CA" sz="850" b="1">
              <a:solidFill>
                <a:srgbClr val="FF0000"/>
              </a:solidFill>
            </a:rPr>
            <a:t>NON COMPRIS DANS LES FRAIS DE PORT: </a:t>
          </a:r>
          <a:r>
            <a:rPr lang="en-CA" sz="750" b="1">
              <a:solidFill>
                <a:sysClr val="windowText" lastClr="000000"/>
              </a:solidFill>
            </a:rPr>
            <a:t>taxes locales, TVA, frais de courtage et le dédouanement ou tout autre frais imposé par le pays importateur</a:t>
          </a:r>
          <a:r>
            <a:rPr lang="en-CA" sz="750" b="0">
              <a:solidFill>
                <a:sysClr val="windowText" lastClr="000000"/>
              </a:solidFill>
            </a:rPr>
            <a:t>.  </a:t>
          </a:r>
          <a:r>
            <a:rPr lang="en-CA" sz="750" b="0"/>
            <a:t>Le transporteur (Fedex, UPS, DHL...) retiendra la marchandise à la douane et vous contactera (par téléphone ou courriel) pour vous demander de payer ces frais. S'ils sont payés, ils livrent, sinon ils renvoient la  				marchandise à l'expéditeur ou la détruisent.</a:t>
          </a:r>
        </a:p>
      </xdr:txBody>
    </xdr:sp>
    <xdr:clientData/>
  </xdr:twoCellAnchor>
  <mc:AlternateContent xmlns:mc="http://schemas.openxmlformats.org/markup-compatibility/2006">
    <mc:Choice xmlns:a14="http://schemas.microsoft.com/office/drawing/2010/main" Requires="a14">
      <xdr:twoCellAnchor editAs="oneCell">
        <xdr:from>
          <xdr:col>15</xdr:col>
          <xdr:colOff>0</xdr:colOff>
          <xdr:row>60</xdr:row>
          <xdr:rowOff>176267</xdr:rowOff>
        </xdr:from>
        <xdr:to>
          <xdr:col>16</xdr:col>
          <xdr:colOff>657225</xdr:colOff>
          <xdr:row>61</xdr:row>
          <xdr:rowOff>184715</xdr:rowOff>
        </xdr:to>
        <xdr:pic>
          <xdr:nvPicPr>
            <xdr:cNvPr id="22" name="PictureCurrency1">
              <a:extLst>
                <a:ext uri="{FF2B5EF4-FFF2-40B4-BE49-F238E27FC236}">
                  <a16:creationId xmlns:a16="http://schemas.microsoft.com/office/drawing/2014/main" id="{00000000-0008-0000-0100-000016000000}"/>
                </a:ext>
              </a:extLst>
            </xdr:cNvPr>
            <xdr:cNvPicPr>
              <a:picLocks noChangeAspect="1" noChangeArrowheads="1"/>
              <a:extLst>
                <a:ext uri="{84589F7E-364E-4C9E-8A38-B11213B215E9}">
                  <a14:cameraTool cellRange="FLAGS_IndexMatch" spid="_x0000_s1541047"/>
                </a:ext>
              </a:extLst>
            </xdr:cNvPicPr>
          </xdr:nvPicPr>
          <xdr:blipFill>
            <a:blip xmlns:r="http://schemas.openxmlformats.org/officeDocument/2006/relationships" r:embed="rId4">
              <a:clrChange>
                <a:clrFrom>
                  <a:srgbClr val="FFFFFF"/>
                </a:clrFrom>
                <a:clrTo>
                  <a:srgbClr val="FFFFFF">
                    <a:alpha val="0"/>
                  </a:srgbClr>
                </a:clrTo>
              </a:clrChange>
            </a:blip>
            <a:srcRect/>
            <a:stretch>
              <a:fillRect/>
            </a:stretch>
          </xdr:blipFill>
          <xdr:spPr bwMode="auto">
            <a:xfrm>
              <a:off x="5942135" y="8397075"/>
              <a:ext cx="1228725" cy="206275"/>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787400</xdr:colOff>
          <xdr:row>6</xdr:row>
          <xdr:rowOff>25400</xdr:rowOff>
        </xdr:from>
        <xdr:to>
          <xdr:col>9</xdr:col>
          <xdr:colOff>127000</xdr:colOff>
          <xdr:row>7</xdr:row>
          <xdr:rowOff>25400</xdr:rowOff>
        </xdr:to>
        <xdr:sp macro="" textlink="">
          <xdr:nvSpPr>
            <xdr:cNvPr id="98311" name="CheckBoxInternetDownload" descr="Detailed Prices" hidden="1">
              <a:extLst>
                <a:ext uri="{63B3BB69-23CF-44E3-9099-C40C66FF867C}">
                  <a14:compatExt spid="_x0000_s98311"/>
                </a:ext>
                <a:ext uri="{FF2B5EF4-FFF2-40B4-BE49-F238E27FC236}">
                  <a16:creationId xmlns:a16="http://schemas.microsoft.com/office/drawing/2014/main" id="{00000000-0008-0000-0100-0000078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25400</xdr:colOff>
          <xdr:row>6</xdr:row>
          <xdr:rowOff>25400</xdr:rowOff>
        </xdr:from>
        <xdr:to>
          <xdr:col>7</xdr:col>
          <xdr:colOff>127000</xdr:colOff>
          <xdr:row>7</xdr:row>
          <xdr:rowOff>25400</xdr:rowOff>
        </xdr:to>
        <xdr:sp macro="" textlink="">
          <xdr:nvSpPr>
            <xdr:cNvPr id="98307" name="CheckboxSoftwareHardware" descr="Detailed Prices" hidden="1">
              <a:extLst>
                <a:ext uri="{63B3BB69-23CF-44E3-9099-C40C66FF867C}">
                  <a14:compatExt spid="_x0000_s98307"/>
                </a:ext>
                <a:ext uri="{FF2B5EF4-FFF2-40B4-BE49-F238E27FC236}">
                  <a16:creationId xmlns:a16="http://schemas.microsoft.com/office/drawing/2014/main" id="{00000000-0008-0000-0100-0000038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6350</xdr:colOff>
      <xdr:row>55</xdr:row>
      <xdr:rowOff>34925</xdr:rowOff>
    </xdr:from>
    <xdr:to>
      <xdr:col>13</xdr:col>
      <xdr:colOff>6350</xdr:colOff>
      <xdr:row>57</xdr:row>
      <xdr:rowOff>136525</xdr:rowOff>
    </xdr:to>
    <xdr:sp macro="" textlink="">
      <xdr:nvSpPr>
        <xdr:cNvPr id="5" name="Textbox_Title1En" hidden="1">
          <a:extLst>
            <a:ext uri="{FF2B5EF4-FFF2-40B4-BE49-F238E27FC236}">
              <a16:creationId xmlns:a16="http://schemas.microsoft.com/office/drawing/2014/main" id="{00000000-0008-0000-0100-000005000000}"/>
            </a:ext>
          </a:extLst>
        </xdr:cNvPr>
        <xdr:cNvSpPr txBox="1"/>
      </xdr:nvSpPr>
      <xdr:spPr>
        <a:xfrm>
          <a:off x="63500" y="7454900"/>
          <a:ext cx="5086350" cy="368300"/>
        </a:xfrm>
        <a:prstGeom prst="rect">
          <a:avLst/>
        </a:prstGeom>
        <a:solidFill>
          <a:srgbClr val="B4D9FA"/>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tIns="0" rIns="0" bIns="0" rtlCol="0" anchor="t"/>
        <a:lstStyle/>
        <a:p>
          <a:pPr>
            <a:lnSpc>
              <a:spcPts val="1100"/>
            </a:lnSpc>
          </a:pPr>
          <a:r>
            <a:rPr lang="en-CA" sz="850" b="1">
              <a:solidFill>
                <a:srgbClr val="FF0000"/>
              </a:solidFill>
            </a:rPr>
            <a:t>PRICES VALID ONLY FOR OUR SALES TERMS &amp; CONDITIONS </a:t>
          </a:r>
          <a:r>
            <a:rPr lang="en-CA" sz="750" b="0"/>
            <a:t>(see</a:t>
          </a:r>
          <a:r>
            <a:rPr lang="en-CA" sz="750" b="0" baseline="0"/>
            <a:t> next page). </a:t>
          </a:r>
          <a:r>
            <a:rPr kumimoji="0" lang="en-CA" sz="850" b="1" i="0" u="none" strike="noStrike" kern="0" cap="none" spc="0" normalizeH="0" baseline="0" noProof="0">
              <a:ln>
                <a:noFill/>
              </a:ln>
              <a:solidFill>
                <a:srgbClr val="FF0000"/>
              </a:solidFill>
              <a:effectLst/>
              <a:uLnTx/>
              <a:uFillTx/>
              <a:latin typeface="+mn-lt"/>
              <a:ea typeface="+mn-ea"/>
              <a:cs typeface="+mn-cs"/>
            </a:rPr>
            <a:t>INTERNATIONAL ORDERS MUST BE PREPAID </a:t>
          </a:r>
          <a:r>
            <a:rPr lang="en-CA" sz="750" b="0"/>
            <a:t>(Visa, Mastercard or Wire Transfer, see bank information below). Prices are the same for all payment methods.</a:t>
          </a:r>
        </a:p>
        <a:p>
          <a:pPr>
            <a:lnSpc>
              <a:spcPts val="1100"/>
            </a:lnSpc>
          </a:pPr>
          <a:endParaRPr lang="en-CA" sz="850" b="0"/>
        </a:p>
      </xdr:txBody>
    </xdr:sp>
    <xdr:clientData/>
  </xdr:twoCellAnchor>
  <xdr:twoCellAnchor>
    <xdr:from>
      <xdr:col>19</xdr:col>
      <xdr:colOff>0</xdr:colOff>
      <xdr:row>55</xdr:row>
      <xdr:rowOff>34925</xdr:rowOff>
    </xdr:from>
    <xdr:to>
      <xdr:col>31</xdr:col>
      <xdr:colOff>0</xdr:colOff>
      <xdr:row>57</xdr:row>
      <xdr:rowOff>136525</xdr:rowOff>
    </xdr:to>
    <xdr:sp macro="" textlink="">
      <xdr:nvSpPr>
        <xdr:cNvPr id="10" name="Textbox_Title2En" hidden="1">
          <a:extLst>
            <a:ext uri="{FF2B5EF4-FFF2-40B4-BE49-F238E27FC236}">
              <a16:creationId xmlns:a16="http://schemas.microsoft.com/office/drawing/2014/main" id="{00000000-0008-0000-0100-00000A000000}"/>
            </a:ext>
          </a:extLst>
        </xdr:cNvPr>
        <xdr:cNvSpPr txBox="1"/>
      </xdr:nvSpPr>
      <xdr:spPr>
        <a:xfrm>
          <a:off x="7353300" y="7454900"/>
          <a:ext cx="5086350" cy="368300"/>
        </a:xfrm>
        <a:prstGeom prst="rect">
          <a:avLst/>
        </a:prstGeom>
        <a:solidFill>
          <a:srgbClr val="B4D9FA"/>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tIns="0" rIns="0" bIns="0" rtlCol="0" anchor="t"/>
        <a:lstStyle/>
        <a:p>
          <a:pPr>
            <a:lnSpc>
              <a:spcPts val="1100"/>
            </a:lnSpc>
          </a:pPr>
          <a:r>
            <a:rPr lang="en-CA" sz="850" b="1">
              <a:solidFill>
                <a:srgbClr val="FF0000"/>
              </a:solidFill>
            </a:rPr>
            <a:t>PRICES VALID ONLY FOR OUR SALES TERMS &amp; CONDITIONS </a:t>
          </a:r>
          <a:r>
            <a:rPr lang="en-CA" sz="750" b="0"/>
            <a:t>(see</a:t>
          </a:r>
          <a:r>
            <a:rPr lang="en-CA" sz="750" b="0" baseline="0"/>
            <a:t> next page). </a:t>
          </a:r>
          <a:r>
            <a:rPr kumimoji="0" lang="en-CA" sz="850" b="1" i="0" u="none" strike="noStrike" kern="0" cap="none" spc="0" normalizeH="0" baseline="0" noProof="0">
              <a:ln>
                <a:noFill/>
              </a:ln>
              <a:solidFill>
                <a:srgbClr val="FF0000"/>
              </a:solidFill>
              <a:effectLst/>
              <a:uLnTx/>
              <a:uFillTx/>
              <a:latin typeface="+mn-lt"/>
              <a:ea typeface="+mn-ea"/>
              <a:cs typeface="+mn-cs"/>
            </a:rPr>
            <a:t>INTERNATIONAL ORDERS MUST BE PREPAID </a:t>
          </a:r>
          <a:r>
            <a:rPr lang="en-CA" sz="750" b="0"/>
            <a:t>(Visa, Mastercard or Wire Transfer, see bank information below). Prices are the same for all payment methods.</a:t>
          </a:r>
        </a:p>
        <a:p>
          <a:pPr>
            <a:lnSpc>
              <a:spcPts val="1100"/>
            </a:lnSpc>
          </a:pPr>
          <a:endParaRPr lang="en-CA" sz="850" b="0"/>
        </a:p>
      </xdr:txBody>
    </xdr:sp>
    <xdr:clientData/>
  </xdr:twoCellAnchor>
  <mc:AlternateContent xmlns:mc="http://schemas.openxmlformats.org/markup-compatibility/2006">
    <mc:Choice xmlns:a14="http://schemas.microsoft.com/office/drawing/2010/main" Requires="a14">
      <xdr:twoCellAnchor editAs="oneCell">
        <xdr:from>
          <xdr:col>33</xdr:col>
          <xdr:colOff>0</xdr:colOff>
          <xdr:row>61</xdr:row>
          <xdr:rowOff>0</xdr:rowOff>
        </xdr:from>
        <xdr:to>
          <xdr:col>34</xdr:col>
          <xdr:colOff>657225</xdr:colOff>
          <xdr:row>62</xdr:row>
          <xdr:rowOff>8448</xdr:rowOff>
        </xdr:to>
        <xdr:pic>
          <xdr:nvPicPr>
            <xdr:cNvPr id="20" name="PictureCurrency2">
              <a:extLst>
                <a:ext uri="{FF2B5EF4-FFF2-40B4-BE49-F238E27FC236}">
                  <a16:creationId xmlns:a16="http://schemas.microsoft.com/office/drawing/2014/main" id="{00000000-0008-0000-0100-000014000000}"/>
                </a:ext>
              </a:extLst>
            </xdr:cNvPr>
            <xdr:cNvPicPr>
              <a:picLocks noChangeAspect="1" noChangeArrowheads="1"/>
              <a:extLst>
                <a:ext uri="{84589F7E-364E-4C9E-8A38-B11213B215E9}">
                  <a14:cameraTool cellRange="FLAGS_IndexMatch_Split" spid="_x0000_s1541048"/>
                </a:ext>
              </a:extLst>
            </xdr:cNvPicPr>
          </xdr:nvPicPr>
          <xdr:blipFill>
            <a:blip xmlns:r="http://schemas.openxmlformats.org/officeDocument/2006/relationships" r:embed="rId5">
              <a:clrChange>
                <a:clrFrom>
                  <a:srgbClr val="FFFFFF"/>
                </a:clrFrom>
                <a:clrTo>
                  <a:srgbClr val="FFFFFF">
                    <a:alpha val="0"/>
                  </a:srgbClr>
                </a:clrTo>
              </a:clrChange>
            </a:blip>
            <a:srcRect/>
            <a:stretch>
              <a:fillRect/>
            </a:stretch>
          </xdr:blipFill>
          <xdr:spPr bwMode="auto">
            <a:xfrm>
              <a:off x="13239750" y="8420100"/>
              <a:ext cx="1228725" cy="208473"/>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xdr:oneCellAnchor>
    <xdr:from>
      <xdr:col>0</xdr:col>
      <xdr:colOff>0</xdr:colOff>
      <xdr:row>33</xdr:row>
      <xdr:rowOff>95250</xdr:rowOff>
    </xdr:from>
    <xdr:ext cx="7779645" cy="1001941"/>
    <xdr:sp macro="" textlink="Vars!C160">
      <xdr:nvSpPr>
        <xdr:cNvPr id="21" name="Textbox_InternetWatermark">
          <a:extLst>
            <a:ext uri="{FF2B5EF4-FFF2-40B4-BE49-F238E27FC236}">
              <a16:creationId xmlns:a16="http://schemas.microsoft.com/office/drawing/2014/main" id="{D6A1D174-06C0-4C33-9E8D-297194534740}"/>
            </a:ext>
          </a:extLst>
        </xdr:cNvPr>
        <xdr:cNvSpPr txBox="1"/>
      </xdr:nvSpPr>
      <xdr:spPr>
        <a:xfrm rot="19623936">
          <a:off x="0" y="4714875"/>
          <a:ext cx="7779645" cy="1001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fld id="{BC501C53-6E70-4BB7-8D51-4E3424FBA8C8}" type="TxLink">
            <a:rPr lang="en-US" sz="6400" b="0" i="0" u="none" strike="noStrike">
              <a:solidFill>
                <a:srgbClr val="000000">
                  <a:alpha val="15000"/>
                </a:srgbClr>
              </a:solidFill>
              <a:latin typeface="+mn-lt"/>
              <a:cs typeface="Calibri"/>
            </a:rPr>
            <a:pPr/>
            <a:t> </a:t>
          </a:fld>
          <a:endParaRPr lang="en-CA" sz="6400">
            <a:solidFill>
              <a:srgbClr val="000000">
                <a:alpha val="15000"/>
              </a:srgbClr>
            </a:solidFill>
            <a:latin typeface="+mn-lt"/>
          </a:endParaRPr>
        </a:p>
      </xdr:txBody>
    </xdr:sp>
    <xdr:clientData/>
  </xdr:oneCellAnchor>
  <xdr:twoCellAnchor>
    <xdr:from>
      <xdr:col>3</xdr:col>
      <xdr:colOff>0</xdr:colOff>
      <xdr:row>49</xdr:row>
      <xdr:rowOff>0</xdr:rowOff>
    </xdr:from>
    <xdr:to>
      <xdr:col>14</xdr:col>
      <xdr:colOff>388620</xdr:colOff>
      <xdr:row>54</xdr:row>
      <xdr:rowOff>129540</xdr:rowOff>
    </xdr:to>
    <xdr:sp macro="" textlink="" fLocksText="0">
      <xdr:nvSpPr>
        <xdr:cNvPr id="32" name="Textbox_Comments_Fr">
          <a:extLst>
            <a:ext uri="{FF2B5EF4-FFF2-40B4-BE49-F238E27FC236}">
              <a16:creationId xmlns:a16="http://schemas.microsoft.com/office/drawing/2014/main" id="{EC3AF9C8-2C96-4EC4-975D-66488C410A9B}"/>
            </a:ext>
          </a:extLst>
        </xdr:cNvPr>
        <xdr:cNvSpPr txBox="1"/>
      </xdr:nvSpPr>
      <xdr:spPr>
        <a:xfrm>
          <a:off x="590550" y="6753225"/>
          <a:ext cx="5341620" cy="79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0" i="0">
              <a:solidFill>
                <a:schemeClr val="dk1"/>
              </a:solidFill>
              <a:effectLst/>
              <a:latin typeface="+mn-lt"/>
              <a:ea typeface="+mn-ea"/>
              <a:cs typeface="+mn-cs"/>
            </a:rPr>
            <a:t>Commentaires:</a:t>
          </a:r>
          <a:endParaRPr lang="en-CA" sz="1000">
            <a:effectLst/>
          </a:endParaRPr>
        </a:p>
      </xdr:txBody>
    </xdr:sp>
    <xdr:clientData fLocksWithSheet="0"/>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49</xdr:row>
      <xdr:rowOff>91440</xdr:rowOff>
    </xdr:from>
    <xdr:to>
      <xdr:col>15</xdr:col>
      <xdr:colOff>350520</xdr:colOff>
      <xdr:row>55</xdr:row>
      <xdr:rowOff>7620</xdr:rowOff>
    </xdr:to>
    <xdr:sp macro="" textlink="" fLocksText="0">
      <xdr:nvSpPr>
        <xdr:cNvPr id="15" name="Textbox_Comments_En1" hidden="1">
          <a:extLst>
            <a:ext uri="{FF2B5EF4-FFF2-40B4-BE49-F238E27FC236}">
              <a16:creationId xmlns:a16="http://schemas.microsoft.com/office/drawing/2014/main" id="{00000000-0008-0000-0200-00000F000000}"/>
            </a:ext>
          </a:extLst>
        </xdr:cNvPr>
        <xdr:cNvSpPr txBox="1"/>
      </xdr:nvSpPr>
      <xdr:spPr>
        <a:xfrm>
          <a:off x="857250" y="6844665"/>
          <a:ext cx="5036820" cy="716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0" i="0" u="none" strike="noStrike">
              <a:solidFill>
                <a:sysClr val="windowText" lastClr="000000"/>
              </a:solidFill>
              <a:effectLst/>
              <a:latin typeface="Calibri"/>
              <a:ea typeface="+mn-ea"/>
              <a:cs typeface="Calibri"/>
            </a:rPr>
            <a:t>Comments:</a:t>
          </a:r>
        </a:p>
      </xdr:txBody>
    </xdr:sp>
    <xdr:clientData fLocksWithSheet="0"/>
  </xdr:twoCellAnchor>
  <xdr:twoCellAnchor>
    <xdr:from>
      <xdr:col>4</xdr:col>
      <xdr:colOff>38100</xdr:colOff>
      <xdr:row>45</xdr:row>
      <xdr:rowOff>76200</xdr:rowOff>
    </xdr:from>
    <xdr:to>
      <xdr:col>15</xdr:col>
      <xdr:colOff>368695</xdr:colOff>
      <xdr:row>53</xdr:row>
      <xdr:rowOff>123825</xdr:rowOff>
    </xdr:to>
    <xdr:sp macro="" textlink="">
      <xdr:nvSpPr>
        <xdr:cNvPr id="20" name="Textbox_Tariff" hidden="1">
          <a:extLst>
            <a:ext uri="{FF2B5EF4-FFF2-40B4-BE49-F238E27FC236}">
              <a16:creationId xmlns:a16="http://schemas.microsoft.com/office/drawing/2014/main" id="{00000000-0008-0000-0200-000014000000}"/>
            </a:ext>
          </a:extLst>
        </xdr:cNvPr>
        <xdr:cNvSpPr txBox="1"/>
      </xdr:nvSpPr>
      <xdr:spPr>
        <a:xfrm>
          <a:off x="895350" y="6296025"/>
          <a:ext cx="5016895" cy="11144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solidFill>
                <a:srgbClr val="FF0000"/>
              </a:solidFill>
              <a:effectLst/>
              <a:latin typeface="+mn-lt"/>
              <a:ea typeface="+mn-ea"/>
              <a:cs typeface="+mn-cs"/>
            </a:rPr>
            <a:t>IMPORTANT NOTE:</a:t>
          </a:r>
          <a:br>
            <a:rPr lang="en-CA" sz="1100">
              <a:solidFill>
                <a:schemeClr val="dk1"/>
              </a:solidFill>
              <a:effectLst/>
              <a:latin typeface="+mn-lt"/>
              <a:ea typeface="+mn-ea"/>
              <a:cs typeface="+mn-cs"/>
            </a:rPr>
          </a:br>
          <a:r>
            <a:rPr lang="en-CA" sz="800" b="1">
              <a:solidFill>
                <a:schemeClr val="dk1"/>
              </a:solidFill>
              <a:effectLst/>
              <a:latin typeface="+mn-lt"/>
              <a:ea typeface="+mn-ea"/>
              <a:cs typeface="+mn-cs"/>
            </a:rPr>
            <a:t>The U.S. government might impose duty tariffs on some or all Canadian products imports in the U.S. These duties are not included in our quoted prices and will be the responsibility of the buyer. The importing carrier or broker will ask the buyer to pay those fees.</a:t>
          </a:r>
        </a:p>
        <a:p>
          <a:br>
            <a:rPr lang="en-CA" sz="800">
              <a:solidFill>
                <a:schemeClr val="dk1"/>
              </a:solidFill>
              <a:effectLst/>
              <a:latin typeface="+mn-lt"/>
              <a:ea typeface="+mn-ea"/>
              <a:cs typeface="+mn-cs"/>
            </a:rPr>
          </a:br>
          <a:endParaRPr lang="en-CA" sz="800">
            <a:solidFill>
              <a:schemeClr val="dk1"/>
            </a:solidFill>
            <a:effectLst/>
            <a:latin typeface="+mn-lt"/>
            <a:ea typeface="+mn-ea"/>
            <a:cs typeface="+mn-cs"/>
          </a:endParaRPr>
        </a:p>
      </xdr:txBody>
    </xdr:sp>
    <xdr:clientData/>
  </xdr:twoCellAnchor>
  <xdr:twoCellAnchor>
    <xdr:from>
      <xdr:col>20</xdr:col>
      <xdr:colOff>5155</xdr:colOff>
      <xdr:row>55</xdr:row>
      <xdr:rowOff>9799</xdr:rowOff>
    </xdr:from>
    <xdr:to>
      <xdr:col>33</xdr:col>
      <xdr:colOff>11505</xdr:colOff>
      <xdr:row>58</xdr:row>
      <xdr:rowOff>274</xdr:rowOff>
    </xdr:to>
    <xdr:sp macro="" textlink="">
      <xdr:nvSpPr>
        <xdr:cNvPr id="19" name="Textbox_Title2Fr">
          <a:extLst>
            <a:ext uri="{FF2B5EF4-FFF2-40B4-BE49-F238E27FC236}">
              <a16:creationId xmlns:a16="http://schemas.microsoft.com/office/drawing/2014/main" id="{00000000-0008-0000-0200-000013000000}"/>
            </a:ext>
          </a:extLst>
        </xdr:cNvPr>
        <xdr:cNvSpPr txBox="1"/>
      </xdr:nvSpPr>
      <xdr:spPr>
        <a:xfrm>
          <a:off x="7395241" y="7386747"/>
          <a:ext cx="5314074" cy="450303"/>
        </a:xfrm>
        <a:prstGeom prst="rect">
          <a:avLst/>
        </a:prstGeom>
        <a:solidFill>
          <a:srgbClr val="B4D9FA"/>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tIns="0" rIns="0" bIns="0" rtlCol="0" anchor="t"/>
        <a:lstStyle/>
        <a:p>
          <a:pPr>
            <a:lnSpc>
              <a:spcPts val="1100"/>
            </a:lnSpc>
          </a:pPr>
          <a:r>
            <a:rPr lang="en-CA" sz="850" b="1">
              <a:solidFill>
                <a:srgbClr val="FF0000"/>
              </a:solidFill>
            </a:rPr>
            <a:t>PRIX VALABLES UNIQUEMENT POUR NOS CONDITIONS DE VENTE </a:t>
          </a:r>
          <a:r>
            <a:rPr kumimoji="0" lang="en-CA" sz="750" b="0" i="0" u="none" strike="noStrike" kern="0" cap="none" spc="0" normalizeH="0" baseline="0" noProof="0">
              <a:ln>
                <a:noFill/>
              </a:ln>
              <a:solidFill>
                <a:prstClr val="black"/>
              </a:solidFill>
              <a:effectLst/>
              <a:uLnTx/>
              <a:uFillTx/>
              <a:latin typeface="+mn-lt"/>
              <a:ea typeface="+mn-ea"/>
              <a:cs typeface="+mn-cs"/>
            </a:rPr>
            <a:t>(voir page suivante).</a:t>
          </a:r>
          <a:r>
            <a:rPr lang="en-CA" sz="850" b="1">
              <a:solidFill>
                <a:srgbClr val="FF0000"/>
              </a:solidFill>
            </a:rPr>
            <a:t> COMMANDES INTERNATIONALES DOIVENT ÊTRE PRÉPAYÉES </a:t>
          </a:r>
          <a:r>
            <a:rPr kumimoji="0" lang="en-CA" sz="750" b="0" i="0" u="none" strike="noStrike" kern="0" cap="none" spc="0" normalizeH="0" baseline="0" noProof="0">
              <a:ln>
                <a:noFill/>
              </a:ln>
              <a:solidFill>
                <a:prstClr val="black"/>
              </a:solidFill>
              <a:effectLst/>
              <a:uLnTx/>
              <a:uFillTx/>
              <a:latin typeface="+mn-lt"/>
              <a:ea typeface="+mn-ea"/>
              <a:cs typeface="+mn-cs"/>
            </a:rPr>
            <a:t>(Visa, Mastercard ou virement bancaire (voir les informations bancaires ci-dessous)). Les prix sont les mêmes pour tous les modes de paiement.</a:t>
          </a:r>
          <a:endParaRPr lang="en-CA" sz="850" b="0"/>
        </a:p>
      </xdr:txBody>
    </xdr:sp>
    <xdr:clientData/>
  </xdr:twoCellAnchor>
  <xdr:twoCellAnchor>
    <xdr:from>
      <xdr:col>1</xdr:col>
      <xdr:colOff>4330</xdr:colOff>
      <xdr:row>55</xdr:row>
      <xdr:rowOff>8660</xdr:rowOff>
    </xdr:from>
    <xdr:to>
      <xdr:col>14</xdr:col>
      <xdr:colOff>10680</xdr:colOff>
      <xdr:row>58</xdr:row>
      <xdr:rowOff>2091</xdr:rowOff>
    </xdr:to>
    <xdr:sp macro="" textlink="">
      <xdr:nvSpPr>
        <xdr:cNvPr id="18" name="Textbox_Title1Fr">
          <a:extLst>
            <a:ext uri="{FF2B5EF4-FFF2-40B4-BE49-F238E27FC236}">
              <a16:creationId xmlns:a16="http://schemas.microsoft.com/office/drawing/2014/main" id="{00000000-0008-0000-0200-000012000000}"/>
            </a:ext>
          </a:extLst>
        </xdr:cNvPr>
        <xdr:cNvSpPr txBox="1"/>
      </xdr:nvSpPr>
      <xdr:spPr>
        <a:xfrm>
          <a:off x="63451" y="7385608"/>
          <a:ext cx="5314074" cy="453259"/>
        </a:xfrm>
        <a:prstGeom prst="rect">
          <a:avLst/>
        </a:prstGeom>
        <a:solidFill>
          <a:srgbClr val="B4D9FA"/>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tIns="0" rIns="0" bIns="0" rtlCol="0" anchor="t"/>
        <a:lstStyle/>
        <a:p>
          <a:pPr>
            <a:lnSpc>
              <a:spcPts val="1100"/>
            </a:lnSpc>
          </a:pPr>
          <a:r>
            <a:rPr lang="en-CA" sz="850" b="1">
              <a:solidFill>
                <a:srgbClr val="FF0000"/>
              </a:solidFill>
            </a:rPr>
            <a:t>PRIX VALABLES UNIQUEMENT POUR NOS CONDITIONS DE VENTE </a:t>
          </a:r>
          <a:r>
            <a:rPr kumimoji="0" lang="en-CA" sz="750" b="0" i="0" u="none" strike="noStrike" kern="0" cap="none" spc="0" normalizeH="0" baseline="0" noProof="0">
              <a:ln>
                <a:noFill/>
              </a:ln>
              <a:solidFill>
                <a:prstClr val="black"/>
              </a:solidFill>
              <a:effectLst/>
              <a:uLnTx/>
              <a:uFillTx/>
              <a:latin typeface="+mn-lt"/>
              <a:ea typeface="+mn-ea"/>
              <a:cs typeface="+mn-cs"/>
            </a:rPr>
            <a:t>(voir page suivante).</a:t>
          </a:r>
          <a:r>
            <a:rPr lang="en-CA" sz="850" b="1">
              <a:solidFill>
                <a:srgbClr val="FF0000"/>
              </a:solidFill>
            </a:rPr>
            <a:t> COMMANDES INTERNATIONALES DOIVENT ÊTRE PRÉPAYÉES </a:t>
          </a:r>
          <a:r>
            <a:rPr kumimoji="0" lang="en-CA" sz="750" b="0" i="0" u="none" strike="noStrike" kern="0" cap="none" spc="0" normalizeH="0" baseline="0" noProof="0">
              <a:ln>
                <a:noFill/>
              </a:ln>
              <a:solidFill>
                <a:prstClr val="black"/>
              </a:solidFill>
              <a:effectLst/>
              <a:uLnTx/>
              <a:uFillTx/>
              <a:latin typeface="+mn-lt"/>
              <a:ea typeface="+mn-ea"/>
              <a:cs typeface="+mn-cs"/>
            </a:rPr>
            <a:t>(Visa, Mastercard ou virement bancaire (voir les informations bancaires ci-dessous)). Les prix sont les mêmes pour tous les modes de paiement.</a:t>
          </a:r>
          <a:endParaRPr lang="en-CA" sz="850" b="0"/>
        </a:p>
      </xdr:txBody>
    </xdr:sp>
    <xdr:clientData/>
  </xdr:twoCellAnchor>
  <xdr:twoCellAnchor>
    <xdr:from>
      <xdr:col>1</xdr:col>
      <xdr:colOff>2381</xdr:colOff>
      <xdr:row>55</xdr:row>
      <xdr:rowOff>34925</xdr:rowOff>
    </xdr:from>
    <xdr:to>
      <xdr:col>14</xdr:col>
      <xdr:colOff>6350</xdr:colOff>
      <xdr:row>57</xdr:row>
      <xdr:rowOff>136525</xdr:rowOff>
    </xdr:to>
    <xdr:sp macro="" textlink="">
      <xdr:nvSpPr>
        <xdr:cNvPr id="16" name="Textbox_Title1En" hidden="1">
          <a:extLst>
            <a:ext uri="{FF2B5EF4-FFF2-40B4-BE49-F238E27FC236}">
              <a16:creationId xmlns:a16="http://schemas.microsoft.com/office/drawing/2014/main" id="{00000000-0008-0000-0200-000010000000}"/>
            </a:ext>
          </a:extLst>
        </xdr:cNvPr>
        <xdr:cNvSpPr txBox="1"/>
      </xdr:nvSpPr>
      <xdr:spPr>
        <a:xfrm>
          <a:off x="59531" y="7454900"/>
          <a:ext cx="5280819" cy="368300"/>
        </a:xfrm>
        <a:prstGeom prst="rect">
          <a:avLst/>
        </a:prstGeom>
        <a:solidFill>
          <a:srgbClr val="B4D9FA"/>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tIns="0" rIns="0" bIns="0" rtlCol="0" anchor="t"/>
        <a:lstStyle/>
        <a:p>
          <a:pPr>
            <a:lnSpc>
              <a:spcPts val="1100"/>
            </a:lnSpc>
          </a:pPr>
          <a:r>
            <a:rPr lang="en-CA" sz="850" b="1">
              <a:solidFill>
                <a:srgbClr val="FF0000"/>
              </a:solidFill>
            </a:rPr>
            <a:t>PRICES VALID ONLY FOR OUR SALES TERMS &amp; CONDITIONS </a:t>
          </a:r>
          <a:r>
            <a:rPr lang="en-CA" sz="750" b="0"/>
            <a:t>(see</a:t>
          </a:r>
          <a:r>
            <a:rPr lang="en-CA" sz="750" b="0" baseline="0"/>
            <a:t> next page). </a:t>
          </a:r>
          <a:r>
            <a:rPr kumimoji="0" lang="en-CA" sz="850" b="1" i="0" u="none" strike="noStrike" kern="0" cap="none" spc="0" normalizeH="0" baseline="0" noProof="0">
              <a:ln>
                <a:noFill/>
              </a:ln>
              <a:solidFill>
                <a:srgbClr val="FF0000"/>
              </a:solidFill>
              <a:effectLst/>
              <a:uLnTx/>
              <a:uFillTx/>
              <a:latin typeface="+mn-lt"/>
              <a:ea typeface="+mn-ea"/>
              <a:cs typeface="+mn-cs"/>
            </a:rPr>
            <a:t>INTERNATIONAL ORDERS MUST BE PREPAID </a:t>
          </a:r>
          <a:r>
            <a:rPr lang="en-CA" sz="750" b="0"/>
            <a:t>(Visa, Mastercard or Wire Transfer, see bank information below). Prices are the same for all payment methods.</a:t>
          </a:r>
        </a:p>
        <a:p>
          <a:pPr>
            <a:lnSpc>
              <a:spcPts val="1100"/>
            </a:lnSpc>
          </a:pPr>
          <a:endParaRPr lang="en-CA" sz="850" b="0"/>
        </a:p>
      </xdr:txBody>
    </xdr:sp>
    <xdr:clientData/>
  </xdr:twoCellAnchor>
  <xdr:twoCellAnchor editAs="absolute">
    <xdr:from>
      <xdr:col>0</xdr:col>
      <xdr:colOff>20955</xdr:colOff>
      <xdr:row>2</xdr:row>
      <xdr:rowOff>63211</xdr:rowOff>
    </xdr:from>
    <xdr:to>
      <xdr:col>7</xdr:col>
      <xdr:colOff>0</xdr:colOff>
      <xdr:row>9</xdr:row>
      <xdr:rowOff>79513</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20955" y="477829"/>
          <a:ext cx="2298663" cy="867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800"/>
            </a:lnSpc>
          </a:pPr>
          <a:r>
            <a:rPr lang="en-CA" sz="1000" b="1" i="0" u="none" strike="noStrike">
              <a:solidFill>
                <a:sysClr val="windowText" lastClr="000000"/>
              </a:solidFill>
              <a:effectLst/>
              <a:latin typeface="+mn-lt"/>
              <a:ea typeface="+mn-ea"/>
              <a:cs typeface="+mn-cs"/>
            </a:rPr>
            <a:t>REGENT INSTRUMENTS INC.</a:t>
          </a:r>
          <a:r>
            <a:rPr lang="en-CA" sz="1000">
              <a:solidFill>
                <a:sysClr val="windowText" lastClr="000000"/>
              </a:solidFill>
            </a:rPr>
            <a:t> </a:t>
          </a:r>
        </a:p>
        <a:p>
          <a:pPr algn="l">
            <a:lnSpc>
              <a:spcPts val="800"/>
            </a:lnSpc>
          </a:pPr>
          <a:r>
            <a:rPr lang="en-CA" sz="900" b="0" i="0" u="none" strike="noStrike">
              <a:solidFill>
                <a:sysClr val="windowText" lastClr="000000"/>
              </a:solidFill>
              <a:effectLst/>
              <a:latin typeface="+mn-lt"/>
              <a:ea typeface="+mn-ea"/>
              <a:cs typeface="+mn-cs"/>
            </a:rPr>
            <a:t>7140, Blvd Wilfrid-Hamel</a:t>
          </a:r>
          <a:r>
            <a:rPr lang="en-CA" sz="900">
              <a:solidFill>
                <a:sysClr val="windowText" lastClr="000000"/>
              </a:solidFill>
            </a:rPr>
            <a:t> </a:t>
          </a:r>
        </a:p>
        <a:p>
          <a:pPr algn="l">
            <a:lnSpc>
              <a:spcPts val="800"/>
            </a:lnSpc>
          </a:pPr>
          <a:r>
            <a:rPr lang="en-CA" sz="900" b="0" i="0" u="none" strike="noStrike">
              <a:solidFill>
                <a:sysClr val="windowText" lastClr="000000"/>
              </a:solidFill>
              <a:effectLst/>
              <a:latin typeface="+mn-lt"/>
              <a:ea typeface="+mn-ea"/>
              <a:cs typeface="+mn-cs"/>
            </a:rPr>
            <a:t>Quebec, QC, G2G 1B5 CANADA</a:t>
          </a:r>
        </a:p>
        <a:p>
          <a:pPr marL="0" marR="0" lvl="0" indent="0" defTabSz="914400" eaLnBrk="1" fontAlgn="auto" latinLnBrk="0" hangingPunct="1">
            <a:lnSpc>
              <a:spcPts val="800"/>
            </a:lnSpc>
            <a:spcBef>
              <a:spcPts val="0"/>
            </a:spcBef>
            <a:spcAft>
              <a:spcPts val="0"/>
            </a:spcAft>
            <a:buClrTx/>
            <a:buSzTx/>
            <a:buFontTx/>
            <a:buNone/>
            <a:tabLst/>
            <a:defRPr/>
          </a:pPr>
          <a:r>
            <a:rPr lang="en-CA" sz="900" b="0" i="0">
              <a:solidFill>
                <a:sysClr val="windowText" lastClr="000000"/>
              </a:solidFill>
              <a:effectLst/>
              <a:latin typeface="+mn-lt"/>
              <a:ea typeface="+mn-ea"/>
              <a:cs typeface="+mn-cs"/>
            </a:rPr>
            <a:t>www.regentinstruments.com</a:t>
          </a:r>
          <a:r>
            <a:rPr kumimoji="0" lang="en-CA" sz="200" b="0" i="0" u="none" strike="noStrike" kern="0" cap="none" spc="0" normalizeH="0" baseline="0" noProof="0">
              <a:ln>
                <a:noFill/>
              </a:ln>
              <a:solidFill>
                <a:prstClr val="white"/>
              </a:solidFill>
              <a:effectLst/>
              <a:uLnTx/>
              <a:uFillTx/>
              <a:latin typeface="+mn-lt"/>
              <a:ea typeface="+mn-ea"/>
              <a:cs typeface="+mn-cs"/>
            </a:rPr>
            <a:t>/?utm_source=PriceQuoteXLS</a:t>
          </a:r>
          <a:endParaRPr lang="en-CA" sz="900" b="0" i="0">
            <a:solidFill>
              <a:sysClr val="windowText" lastClr="000000"/>
            </a:solidFill>
            <a:effectLst/>
            <a:latin typeface="+mn-lt"/>
            <a:ea typeface="+mn-ea"/>
            <a:cs typeface="+mn-cs"/>
          </a:endParaRPr>
        </a:p>
        <a:p>
          <a:pPr marL="0" marR="0" lvl="0" indent="0" defTabSz="914400" eaLnBrk="1" fontAlgn="auto" latinLnBrk="0" hangingPunct="1">
            <a:lnSpc>
              <a:spcPts val="800"/>
            </a:lnSpc>
            <a:spcBef>
              <a:spcPts val="0"/>
            </a:spcBef>
            <a:spcAft>
              <a:spcPts val="0"/>
            </a:spcAft>
            <a:buClrTx/>
            <a:buSzTx/>
            <a:buFontTx/>
            <a:buNone/>
            <a:tabLst/>
            <a:defRPr/>
          </a:pPr>
          <a:r>
            <a:rPr lang="en-CA" sz="900" b="0" i="0" u="none" strike="noStrike">
              <a:solidFill>
                <a:sysClr val="windowText" lastClr="000000"/>
              </a:solidFill>
              <a:effectLst/>
              <a:latin typeface="+mn-lt"/>
              <a:ea typeface="+mn-ea"/>
              <a:cs typeface="+mn-cs"/>
            </a:rPr>
            <a:t>Tel. 418 653-1347    </a:t>
          </a:r>
          <a:r>
            <a:rPr lang="en-CA" sz="900">
              <a:solidFill>
                <a:sysClr val="windowText" lastClr="000000"/>
              </a:solidFill>
            </a:rPr>
            <a:t>  </a:t>
          </a:r>
          <a:r>
            <a:rPr lang="en-CA" sz="900" b="0" i="0">
              <a:solidFill>
                <a:sysClr val="windowText" lastClr="000000"/>
              </a:solidFill>
              <a:effectLst/>
              <a:latin typeface="+mn-lt"/>
              <a:ea typeface="+mn-ea"/>
              <a:cs typeface="+mn-cs"/>
            </a:rPr>
            <a:t>DUNS 25-526-0127</a:t>
          </a:r>
          <a:r>
            <a:rPr lang="en-CA" sz="900">
              <a:solidFill>
                <a:sysClr val="windowText" lastClr="000000"/>
              </a:solidFill>
              <a:effectLst/>
              <a:latin typeface="+mn-lt"/>
              <a:ea typeface="+mn-ea"/>
              <a:cs typeface="+mn-cs"/>
            </a:rPr>
            <a:t> </a:t>
          </a:r>
          <a:endParaRPr lang="en-CA" sz="900">
            <a:solidFill>
              <a:sysClr val="windowText" lastClr="000000"/>
            </a:solidFill>
            <a:effectLst/>
          </a:endParaRPr>
        </a:p>
        <a:p>
          <a:pPr marL="0" marR="0" lvl="0" indent="0" defTabSz="914400" eaLnBrk="1" fontAlgn="auto" latinLnBrk="0" hangingPunct="1">
            <a:lnSpc>
              <a:spcPts val="800"/>
            </a:lnSpc>
            <a:spcBef>
              <a:spcPts val="0"/>
            </a:spcBef>
            <a:spcAft>
              <a:spcPts val="0"/>
            </a:spcAft>
            <a:buClrTx/>
            <a:buSzTx/>
            <a:buFontTx/>
            <a:buNone/>
            <a:tabLst/>
            <a:defRPr/>
          </a:pPr>
          <a:r>
            <a:rPr kumimoji="0" lang="en-CA" sz="900" b="0" i="0" u="none" strike="noStrike" kern="0" cap="none" spc="0" normalizeH="0" baseline="0" noProof="0">
              <a:ln>
                <a:noFill/>
              </a:ln>
              <a:solidFill>
                <a:sysClr val="windowText" lastClr="000000"/>
              </a:solidFill>
              <a:effectLst/>
              <a:uLnTx/>
              <a:uFillTx/>
              <a:latin typeface="+mn-lt"/>
              <a:ea typeface="+mn-ea"/>
              <a:cs typeface="+mn-cs"/>
            </a:rPr>
            <a:t>Tax ID (GST):  13080 1764 RT0001</a:t>
          </a:r>
        </a:p>
        <a:p>
          <a:pPr>
            <a:lnSpc>
              <a:spcPts val="800"/>
            </a:lnSpc>
          </a:pPr>
          <a:endParaRPr lang="en-CA" sz="900">
            <a:solidFill>
              <a:sysClr val="windowText" lastClr="000000"/>
            </a:solidFill>
          </a:endParaRPr>
        </a:p>
      </xdr:txBody>
    </xdr:sp>
    <xdr:clientData/>
  </xdr:twoCellAnchor>
  <xdr:twoCellAnchor editAs="oneCell">
    <xdr:from>
      <xdr:col>11</xdr:col>
      <xdr:colOff>293589</xdr:colOff>
      <xdr:row>115</xdr:row>
      <xdr:rowOff>33308</xdr:rowOff>
    </xdr:from>
    <xdr:to>
      <xdr:col>18</xdr:col>
      <xdr:colOff>1734</xdr:colOff>
      <xdr:row>117</xdr:row>
      <xdr:rowOff>18626</xdr:rowOff>
    </xdr:to>
    <xdr:pic>
      <xdr:nvPicPr>
        <xdr:cNvPr id="7" name="Picture 6">
          <a:extLst>
            <a:ext uri="{FF2B5EF4-FFF2-40B4-BE49-F238E27FC236}">
              <a16:creationId xmlns:a16="http://schemas.microsoft.com/office/drawing/2014/main" id="{00000000-0008-0000-0200-000007000000}"/>
            </a:ext>
          </a:extLst>
        </xdr:cNvPr>
        <xdr:cNvPicPr>
          <a:picLocks/>
        </xdr:cNvPicPr>
      </xdr:nvPicPr>
      <xdr:blipFill>
        <a:blip xmlns:r="http://schemas.openxmlformats.org/officeDocument/2006/relationships" r:embed="rId1"/>
        <a:srcRect/>
        <a:stretch/>
      </xdr:blipFill>
      <xdr:spPr>
        <a:xfrm>
          <a:off x="4084539" y="19083308"/>
          <a:ext cx="3152882" cy="385368"/>
        </a:xfrm>
        <a:prstGeom prst="rect">
          <a:avLst/>
        </a:prstGeom>
      </xdr:spPr>
    </xdr:pic>
    <xdr:clientData/>
  </xdr:twoCellAnchor>
  <xdr:twoCellAnchor editAs="absolute">
    <xdr:from>
      <xdr:col>2</xdr:col>
      <xdr:colOff>89289</xdr:colOff>
      <xdr:row>0</xdr:row>
      <xdr:rowOff>0</xdr:rowOff>
    </xdr:from>
    <xdr:to>
      <xdr:col>5</xdr:col>
      <xdr:colOff>173192</xdr:colOff>
      <xdr:row>2</xdr:row>
      <xdr:rowOff>81471</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9329" y="0"/>
          <a:ext cx="1127843" cy="500571"/>
        </a:xfrm>
        <a:prstGeom prst="rect">
          <a:avLst/>
        </a:prstGeom>
      </xdr:spPr>
    </xdr:pic>
    <xdr:clientData/>
  </xdr:twoCellAnchor>
  <xdr:twoCellAnchor editAs="absolute">
    <xdr:from>
      <xdr:col>12</xdr:col>
      <xdr:colOff>2550</xdr:colOff>
      <xdr:row>1</xdr:row>
      <xdr:rowOff>1224</xdr:rowOff>
    </xdr:from>
    <xdr:to>
      <xdr:col>18</xdr:col>
      <xdr:colOff>0</xdr:colOff>
      <xdr:row>7</xdr:row>
      <xdr:rowOff>5058</xdr:rowOff>
    </xdr:to>
    <xdr:sp macro="" textlink="">
      <xdr:nvSpPr>
        <xdr:cNvPr id="3" name="Rectangle: Rounded Corners 2">
          <a:extLst>
            <a:ext uri="{FF2B5EF4-FFF2-40B4-BE49-F238E27FC236}">
              <a16:creationId xmlns:a16="http://schemas.microsoft.com/office/drawing/2014/main" id="{00000000-0008-0000-0200-000003000000}"/>
            </a:ext>
          </a:extLst>
        </xdr:cNvPr>
        <xdr:cNvSpPr/>
      </xdr:nvSpPr>
      <xdr:spPr>
        <a:xfrm>
          <a:off x="4627890" y="267924"/>
          <a:ext cx="2573010" cy="918234"/>
        </a:xfrm>
        <a:prstGeom prst="roundRect">
          <a:avLst>
            <a:gd name="adj" fmla="val 2746"/>
          </a:avLst>
        </a:prstGeom>
        <a:noFill/>
        <a:ln w="9525">
          <a:solidFill>
            <a:srgbClr val="1185E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a:p>
        <a:p>
          <a:pPr algn="l"/>
          <a:endParaRPr lang="en-US"/>
        </a:p>
      </xdr:txBody>
    </xdr:sp>
    <xdr:clientData/>
  </xdr:twoCellAnchor>
  <xdr:twoCellAnchor>
    <xdr:from>
      <xdr:col>0</xdr:col>
      <xdr:colOff>0</xdr:colOff>
      <xdr:row>56</xdr:row>
      <xdr:rowOff>152333</xdr:rowOff>
    </xdr:from>
    <xdr:to>
      <xdr:col>13</xdr:col>
      <xdr:colOff>584638</xdr:colOff>
      <xdr:row>60</xdr:row>
      <xdr:rowOff>193608</xdr:rowOff>
    </xdr:to>
    <xdr:sp macro="" textlink="">
      <xdr:nvSpPr>
        <xdr:cNvPr id="6" name="Textbox_Comments1En" hidden="1">
          <a:extLst>
            <a:ext uri="{FF2B5EF4-FFF2-40B4-BE49-F238E27FC236}">
              <a16:creationId xmlns:a16="http://schemas.microsoft.com/office/drawing/2014/main" id="{00000000-0008-0000-0200-000006000000}"/>
            </a:ext>
          </a:extLst>
        </xdr:cNvPr>
        <xdr:cNvSpPr txBox="1"/>
      </xdr:nvSpPr>
      <xdr:spPr>
        <a:xfrm>
          <a:off x="0" y="7594971"/>
          <a:ext cx="5360276" cy="7638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endParaRPr lang="en-CA" sz="850" b="1">
            <a:solidFill>
              <a:srgbClr val="FF0000"/>
            </a:solidFill>
          </a:endParaRPr>
        </a:p>
        <a:p>
          <a:pPr>
            <a:lnSpc>
              <a:spcPts val="1100"/>
            </a:lnSpc>
          </a:pPr>
          <a:r>
            <a:rPr lang="en-CA" sz="850" b="1">
              <a:solidFill>
                <a:srgbClr val="FF0000"/>
              </a:solidFill>
            </a:rPr>
            <a:t>NOT INCLUDED IN SHIPPING COST: </a:t>
          </a:r>
          <a:r>
            <a:rPr lang="en-CA" sz="750" b="1">
              <a:solidFill>
                <a:sysClr val="windowText" lastClr="000000"/>
              </a:solidFill>
            </a:rPr>
            <a:t>Your Local Taxes, VAT, Duties, Customs Processing Fees or any fees imposed by the importing country.</a:t>
          </a:r>
          <a:r>
            <a:rPr lang="en-CA" sz="750" b="1"/>
            <a:t> </a:t>
          </a:r>
          <a:r>
            <a:rPr lang="en-CA" sz="750" b="0"/>
            <a:t>The courier (Fedex, UPS, DHL...) will hold merchandise at customs and contact you (by phone or email) to pay those fees. If paid, they will deliver, if not, they will return merchandise to sender or destroy it.</a:t>
          </a:r>
        </a:p>
      </xdr:txBody>
    </xdr:sp>
    <xdr:clientData/>
  </xdr:twoCellAnchor>
  <xdr:twoCellAnchor>
    <xdr:from>
      <xdr:col>18</xdr:col>
      <xdr:colOff>58614</xdr:colOff>
      <xdr:row>56</xdr:row>
      <xdr:rowOff>152333</xdr:rowOff>
    </xdr:from>
    <xdr:to>
      <xdr:col>32</xdr:col>
      <xdr:colOff>593480</xdr:colOff>
      <xdr:row>60</xdr:row>
      <xdr:rowOff>193608</xdr:rowOff>
    </xdr:to>
    <xdr:sp macro="" textlink="">
      <xdr:nvSpPr>
        <xdr:cNvPr id="9" name="Textbox_Comments2En" hidden="1">
          <a:extLst>
            <a:ext uri="{FF2B5EF4-FFF2-40B4-BE49-F238E27FC236}">
              <a16:creationId xmlns:a16="http://schemas.microsoft.com/office/drawing/2014/main" id="{00000000-0008-0000-0200-000009000000}"/>
            </a:ext>
          </a:extLst>
        </xdr:cNvPr>
        <xdr:cNvSpPr txBox="1"/>
      </xdr:nvSpPr>
      <xdr:spPr>
        <a:xfrm>
          <a:off x="7290287" y="7655102"/>
          <a:ext cx="5319347" cy="7666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endParaRPr lang="en-CA" sz="850" b="1">
            <a:solidFill>
              <a:srgbClr val="FF0000"/>
            </a:solidFill>
          </a:endParaRPr>
        </a:p>
        <a:p>
          <a:pPr>
            <a:lnSpc>
              <a:spcPts val="1100"/>
            </a:lnSpc>
          </a:pPr>
          <a:r>
            <a:rPr lang="en-CA" sz="850" b="1">
              <a:solidFill>
                <a:srgbClr val="FF0000"/>
              </a:solidFill>
            </a:rPr>
            <a:t>NOT INCLUDED IN SHIPPING COST: </a:t>
          </a:r>
          <a:r>
            <a:rPr lang="en-CA" sz="750" b="1">
              <a:solidFill>
                <a:sysClr val="windowText" lastClr="000000"/>
              </a:solidFill>
            </a:rPr>
            <a:t>Your Local Taxes, VAT, Duties, Customs Processing Fees or any fees imposed by the importing country. </a:t>
          </a:r>
          <a:r>
            <a:rPr lang="en-CA" sz="750" b="0"/>
            <a:t>The courier (Fedex, UPS, DHL...) will hold merchandise at customs and contact you (by phone or email) to pay those fees. If paid, they will deliver, if not, they will return merchandise to sender or destroy it.</a:t>
          </a:r>
        </a:p>
      </xdr:txBody>
    </xdr:sp>
    <xdr:clientData/>
  </xdr:twoCellAnchor>
  <xdr:twoCellAnchor editAs="absolute">
    <xdr:from>
      <xdr:col>21</xdr:col>
      <xdr:colOff>91194</xdr:colOff>
      <xdr:row>0</xdr:row>
      <xdr:rowOff>0</xdr:rowOff>
    </xdr:from>
    <xdr:to>
      <xdr:col>24</xdr:col>
      <xdr:colOff>175097</xdr:colOff>
      <xdr:row>2</xdr:row>
      <xdr:rowOff>81471</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65474" y="0"/>
          <a:ext cx="1127843" cy="500571"/>
        </a:xfrm>
        <a:prstGeom prst="rect">
          <a:avLst/>
        </a:prstGeom>
      </xdr:spPr>
    </xdr:pic>
    <xdr:clientData/>
  </xdr:twoCellAnchor>
  <xdr:twoCellAnchor editAs="absolute">
    <xdr:from>
      <xdr:col>31</xdr:col>
      <xdr:colOff>4455</xdr:colOff>
      <xdr:row>1</xdr:row>
      <xdr:rowOff>1224</xdr:rowOff>
    </xdr:from>
    <xdr:to>
      <xdr:col>37</xdr:col>
      <xdr:colOff>1307</xdr:colOff>
      <xdr:row>7</xdr:row>
      <xdr:rowOff>5058</xdr:rowOff>
    </xdr:to>
    <xdr:sp macro="" textlink="">
      <xdr:nvSpPr>
        <xdr:cNvPr id="12" name="Rectangle: Rounded Corners 11">
          <a:extLst>
            <a:ext uri="{FF2B5EF4-FFF2-40B4-BE49-F238E27FC236}">
              <a16:creationId xmlns:a16="http://schemas.microsoft.com/office/drawing/2014/main" id="{00000000-0008-0000-0200-00000C000000}"/>
            </a:ext>
          </a:extLst>
        </xdr:cNvPr>
        <xdr:cNvSpPr/>
      </xdr:nvSpPr>
      <xdr:spPr>
        <a:xfrm>
          <a:off x="11884035" y="267924"/>
          <a:ext cx="2571105" cy="918234"/>
        </a:xfrm>
        <a:prstGeom prst="roundRect">
          <a:avLst>
            <a:gd name="adj" fmla="val 2746"/>
          </a:avLst>
        </a:prstGeom>
        <a:noFill/>
        <a:ln w="9525">
          <a:solidFill>
            <a:srgbClr val="1185E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a:p>
        <a:p>
          <a:pPr algn="l"/>
          <a:endParaRPr lang="en-US"/>
        </a:p>
      </xdr:txBody>
    </xdr:sp>
    <xdr:clientData/>
  </xdr:twoCellAnchor>
  <xdr:twoCellAnchor editAs="absolute">
    <xdr:from>
      <xdr:col>19</xdr:col>
      <xdr:colOff>22860</xdr:colOff>
      <xdr:row>2</xdr:row>
      <xdr:rowOff>63211</xdr:rowOff>
    </xdr:from>
    <xdr:to>
      <xdr:col>28</xdr:col>
      <xdr:colOff>671677</xdr:colOff>
      <xdr:row>9</xdr:row>
      <xdr:rowOff>79513</xdr:rowOff>
    </xdr:to>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7277100" y="482311"/>
          <a:ext cx="3300577" cy="85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800"/>
            </a:lnSpc>
          </a:pPr>
          <a:r>
            <a:rPr lang="en-CA" sz="1000" b="1" i="0" u="none" strike="noStrike">
              <a:solidFill>
                <a:sysClr val="windowText" lastClr="000000"/>
              </a:solidFill>
              <a:effectLst/>
              <a:latin typeface="+mn-lt"/>
              <a:ea typeface="+mn-ea"/>
              <a:cs typeface="+mn-cs"/>
            </a:rPr>
            <a:t>REGENT INSTRUMENTS INC.</a:t>
          </a:r>
          <a:r>
            <a:rPr lang="en-CA" sz="1000">
              <a:solidFill>
                <a:sysClr val="windowText" lastClr="000000"/>
              </a:solidFill>
            </a:rPr>
            <a:t> </a:t>
          </a:r>
        </a:p>
        <a:p>
          <a:pPr algn="l">
            <a:lnSpc>
              <a:spcPts val="800"/>
            </a:lnSpc>
          </a:pPr>
          <a:r>
            <a:rPr lang="en-CA" sz="900" b="0" i="0" u="none" strike="noStrike">
              <a:solidFill>
                <a:sysClr val="windowText" lastClr="000000"/>
              </a:solidFill>
              <a:effectLst/>
              <a:latin typeface="+mn-lt"/>
              <a:ea typeface="+mn-ea"/>
              <a:cs typeface="+mn-cs"/>
            </a:rPr>
            <a:t>7140, Blvd Wilfrid-Hamel</a:t>
          </a:r>
          <a:r>
            <a:rPr lang="en-CA" sz="900">
              <a:solidFill>
                <a:sysClr val="windowText" lastClr="000000"/>
              </a:solidFill>
            </a:rPr>
            <a:t> </a:t>
          </a:r>
        </a:p>
        <a:p>
          <a:pPr algn="l">
            <a:lnSpc>
              <a:spcPts val="800"/>
            </a:lnSpc>
          </a:pPr>
          <a:r>
            <a:rPr lang="en-CA" sz="900" b="0" i="0" u="none" strike="noStrike">
              <a:solidFill>
                <a:sysClr val="windowText" lastClr="000000"/>
              </a:solidFill>
              <a:effectLst/>
              <a:latin typeface="+mn-lt"/>
              <a:ea typeface="+mn-ea"/>
              <a:cs typeface="+mn-cs"/>
            </a:rPr>
            <a:t>Quebec, QC, G2G 1B5 CANADA</a:t>
          </a:r>
        </a:p>
        <a:p>
          <a:pPr marL="0" marR="0" lvl="0" indent="0" defTabSz="914400" eaLnBrk="1" fontAlgn="auto" latinLnBrk="0" hangingPunct="1">
            <a:lnSpc>
              <a:spcPts val="800"/>
            </a:lnSpc>
            <a:spcBef>
              <a:spcPts val="0"/>
            </a:spcBef>
            <a:spcAft>
              <a:spcPts val="0"/>
            </a:spcAft>
            <a:buClrTx/>
            <a:buSzTx/>
            <a:buFontTx/>
            <a:buNone/>
            <a:tabLst/>
            <a:defRPr/>
          </a:pPr>
          <a:r>
            <a:rPr lang="en-CA" sz="900" b="0" i="0">
              <a:solidFill>
                <a:sysClr val="windowText" lastClr="000000"/>
              </a:solidFill>
              <a:effectLst/>
              <a:latin typeface="+mn-lt"/>
              <a:ea typeface="+mn-ea"/>
              <a:cs typeface="+mn-cs"/>
            </a:rPr>
            <a:t>www.regentinstruments.com</a:t>
          </a:r>
          <a:r>
            <a:rPr kumimoji="0" lang="en-CA" sz="200" b="0" i="0" u="none" strike="noStrike" kern="0" cap="none" spc="0" normalizeH="0" baseline="0" noProof="0">
              <a:ln>
                <a:noFill/>
              </a:ln>
              <a:solidFill>
                <a:prstClr val="white"/>
              </a:solidFill>
              <a:effectLst/>
              <a:uLnTx/>
              <a:uFillTx/>
              <a:latin typeface="+mn-lt"/>
              <a:ea typeface="+mn-ea"/>
              <a:cs typeface="+mn-cs"/>
            </a:rPr>
            <a:t>/?utm_source=PriceQuoteXLS</a:t>
          </a:r>
          <a:endParaRPr lang="en-CA" sz="900" b="0" i="0">
            <a:solidFill>
              <a:sysClr val="windowText" lastClr="000000"/>
            </a:solidFill>
            <a:effectLst/>
            <a:latin typeface="+mn-lt"/>
            <a:ea typeface="+mn-ea"/>
            <a:cs typeface="+mn-cs"/>
          </a:endParaRPr>
        </a:p>
        <a:p>
          <a:pPr marL="0" marR="0" lvl="0" indent="0" defTabSz="914400" eaLnBrk="1" fontAlgn="auto" latinLnBrk="0" hangingPunct="1">
            <a:lnSpc>
              <a:spcPts val="800"/>
            </a:lnSpc>
            <a:spcBef>
              <a:spcPts val="0"/>
            </a:spcBef>
            <a:spcAft>
              <a:spcPts val="0"/>
            </a:spcAft>
            <a:buClrTx/>
            <a:buSzTx/>
            <a:buFontTx/>
            <a:buNone/>
            <a:tabLst/>
            <a:defRPr/>
          </a:pPr>
          <a:r>
            <a:rPr lang="en-CA" sz="900" b="0" i="0" u="none" strike="noStrike">
              <a:solidFill>
                <a:sysClr val="windowText" lastClr="000000"/>
              </a:solidFill>
              <a:effectLst/>
              <a:latin typeface="+mn-lt"/>
              <a:ea typeface="+mn-ea"/>
              <a:cs typeface="+mn-cs"/>
            </a:rPr>
            <a:t>Tel. 418 653-1347    </a:t>
          </a:r>
          <a:r>
            <a:rPr lang="en-CA" sz="900">
              <a:solidFill>
                <a:sysClr val="windowText" lastClr="000000"/>
              </a:solidFill>
            </a:rPr>
            <a:t>  </a:t>
          </a:r>
          <a:r>
            <a:rPr lang="en-CA" sz="900" b="0" i="0">
              <a:solidFill>
                <a:sysClr val="windowText" lastClr="000000"/>
              </a:solidFill>
              <a:effectLst/>
              <a:latin typeface="+mn-lt"/>
              <a:ea typeface="+mn-ea"/>
              <a:cs typeface="+mn-cs"/>
            </a:rPr>
            <a:t>DUNS 25-526-0127</a:t>
          </a:r>
          <a:r>
            <a:rPr lang="en-CA" sz="900">
              <a:solidFill>
                <a:sysClr val="windowText" lastClr="000000"/>
              </a:solidFill>
              <a:effectLst/>
              <a:latin typeface="+mn-lt"/>
              <a:ea typeface="+mn-ea"/>
              <a:cs typeface="+mn-cs"/>
            </a:rPr>
            <a:t> </a:t>
          </a:r>
          <a:endParaRPr lang="en-CA" sz="900">
            <a:solidFill>
              <a:sysClr val="windowText" lastClr="000000"/>
            </a:solidFill>
            <a:effectLst/>
          </a:endParaRPr>
        </a:p>
        <a:p>
          <a:pPr marL="0" marR="0" lvl="0" indent="0" defTabSz="914400" eaLnBrk="1" fontAlgn="auto" latinLnBrk="0" hangingPunct="1">
            <a:lnSpc>
              <a:spcPts val="800"/>
            </a:lnSpc>
            <a:spcBef>
              <a:spcPts val="0"/>
            </a:spcBef>
            <a:spcAft>
              <a:spcPts val="0"/>
            </a:spcAft>
            <a:buClrTx/>
            <a:buSzTx/>
            <a:buFontTx/>
            <a:buNone/>
            <a:tabLst/>
            <a:defRPr/>
          </a:pPr>
          <a:r>
            <a:rPr kumimoji="0" lang="en-CA" sz="900" b="0" i="0" u="none" strike="noStrike" kern="0" cap="none" spc="0" normalizeH="0" baseline="0" noProof="0">
              <a:ln>
                <a:noFill/>
              </a:ln>
              <a:solidFill>
                <a:sysClr val="windowText" lastClr="000000"/>
              </a:solidFill>
              <a:effectLst/>
              <a:uLnTx/>
              <a:uFillTx/>
              <a:latin typeface="+mn-lt"/>
              <a:ea typeface="+mn-ea"/>
              <a:cs typeface="+mn-cs"/>
            </a:rPr>
            <a:t>Tax ID (GST):  13080 1764 RT0001</a:t>
          </a:r>
        </a:p>
        <a:p>
          <a:pPr>
            <a:lnSpc>
              <a:spcPts val="800"/>
            </a:lnSpc>
          </a:pPr>
          <a:endParaRPr lang="en-CA" sz="900">
            <a:solidFill>
              <a:sysClr val="windowText" lastClr="000000"/>
            </a:solidFill>
          </a:endParaRPr>
        </a:p>
      </xdr:txBody>
    </xdr:sp>
    <xdr:clientData/>
  </xdr:twoCellAnchor>
  <xdr:twoCellAnchor editAs="oneCell">
    <xdr:from>
      <xdr:col>1</xdr:col>
      <xdr:colOff>171554</xdr:colOff>
      <xdr:row>70</xdr:row>
      <xdr:rowOff>74842</xdr:rowOff>
    </xdr:from>
    <xdr:to>
      <xdr:col>5</xdr:col>
      <xdr:colOff>235562</xdr:colOff>
      <xdr:row>73</xdr:row>
      <xdr:rowOff>183427</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3"/>
        <a:srcRect/>
        <a:stretch/>
      </xdr:blipFill>
      <xdr:spPr>
        <a:xfrm>
          <a:off x="228704" y="10123717"/>
          <a:ext cx="1378458" cy="708660"/>
        </a:xfrm>
        <a:prstGeom prst="rect">
          <a:avLst/>
        </a:prstGeom>
      </xdr:spPr>
    </xdr:pic>
    <xdr:clientData/>
  </xdr:twoCellAnchor>
  <xdr:twoCellAnchor>
    <xdr:from>
      <xdr:col>0</xdr:col>
      <xdr:colOff>1</xdr:colOff>
      <xdr:row>56</xdr:row>
      <xdr:rowOff>152332</xdr:rowOff>
    </xdr:from>
    <xdr:to>
      <xdr:col>13</xdr:col>
      <xdr:colOff>479535</xdr:colOff>
      <xdr:row>61</xdr:row>
      <xdr:rowOff>47624</xdr:rowOff>
    </xdr:to>
    <xdr:sp macro="" textlink="">
      <xdr:nvSpPr>
        <xdr:cNvPr id="23" name="Textbox_Comments1Fr">
          <a:extLst>
            <a:ext uri="{FF2B5EF4-FFF2-40B4-BE49-F238E27FC236}">
              <a16:creationId xmlns:a16="http://schemas.microsoft.com/office/drawing/2014/main" id="{00000000-0008-0000-0200-000017000000}"/>
            </a:ext>
          </a:extLst>
        </xdr:cNvPr>
        <xdr:cNvSpPr txBox="1"/>
      </xdr:nvSpPr>
      <xdr:spPr>
        <a:xfrm>
          <a:off x="1" y="7594970"/>
          <a:ext cx="5255172" cy="8149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endParaRPr lang="en-CA" sz="850" b="1">
            <a:solidFill>
              <a:srgbClr val="FF0000"/>
            </a:solidFill>
          </a:endParaRPr>
        </a:p>
        <a:p>
          <a:pPr>
            <a:lnSpc>
              <a:spcPts val="1100"/>
            </a:lnSpc>
          </a:pPr>
          <a:r>
            <a:rPr lang="en-CA" sz="850" b="1">
              <a:solidFill>
                <a:srgbClr val="FF0000"/>
              </a:solidFill>
            </a:rPr>
            <a:t>NON COMPRIS DANS LES FRAIS DE PORT: </a:t>
          </a:r>
          <a:r>
            <a:rPr lang="en-CA" sz="750" b="1">
              <a:solidFill>
                <a:sysClr val="windowText" lastClr="000000"/>
              </a:solidFill>
            </a:rPr>
            <a:t>taxes locales, TVA, frais de courtage et le dédouanement ou tout autre frais imposé par le pays importateur.  </a:t>
          </a:r>
          <a:r>
            <a:rPr lang="en-CA" sz="750" b="0">
              <a:solidFill>
                <a:sysClr val="windowText" lastClr="000000"/>
              </a:solidFill>
            </a:rPr>
            <a:t>Le</a:t>
          </a:r>
          <a:r>
            <a:rPr lang="en-CA" sz="750" b="0"/>
            <a:t> transporteur (Fedex, UPS, DHL...) retiendra la marchandise à la douane et vous contactera (par téléphone ou courriel) pour vous demander de payer ces frais. S'ils sont payés, ils livrent, sinon ils renvoient la la  				marchandise à l'expéditeur ou la détruisent.</a:t>
          </a:r>
          <a:endParaRPr lang="en-CA" sz="850" b="0"/>
        </a:p>
      </xdr:txBody>
    </xdr:sp>
    <xdr:clientData/>
  </xdr:twoCellAnchor>
  <xdr:twoCellAnchor>
    <xdr:from>
      <xdr:col>19</xdr:col>
      <xdr:colOff>1</xdr:colOff>
      <xdr:row>56</xdr:row>
      <xdr:rowOff>152333</xdr:rowOff>
    </xdr:from>
    <xdr:to>
      <xdr:col>32</xdr:col>
      <xdr:colOff>545225</xdr:colOff>
      <xdr:row>61</xdr:row>
      <xdr:rowOff>17318</xdr:rowOff>
    </xdr:to>
    <xdr:sp macro="" textlink="">
      <xdr:nvSpPr>
        <xdr:cNvPr id="24" name="Textbox_Comments2Fr">
          <a:extLst>
            <a:ext uri="{FF2B5EF4-FFF2-40B4-BE49-F238E27FC236}">
              <a16:creationId xmlns:a16="http://schemas.microsoft.com/office/drawing/2014/main" id="{00000000-0008-0000-0200-000018000000}"/>
            </a:ext>
          </a:extLst>
        </xdr:cNvPr>
        <xdr:cNvSpPr txBox="1"/>
      </xdr:nvSpPr>
      <xdr:spPr>
        <a:xfrm>
          <a:off x="7330967" y="7594971"/>
          <a:ext cx="5320861" cy="784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endParaRPr kumimoji="0" lang="en-CA" sz="850" b="1" i="0" u="none" strike="noStrike" kern="0" cap="none" spc="0" normalizeH="0" baseline="0" noProof="0">
            <a:ln>
              <a:noFill/>
            </a:ln>
            <a:solidFill>
              <a:srgbClr val="FF0000"/>
            </a:solidFill>
            <a:effectLst/>
            <a:uLnTx/>
            <a:uFillTx/>
            <a:latin typeface="+mn-lt"/>
            <a:ea typeface="+mn-ea"/>
            <a:cs typeface="+mn-cs"/>
          </a:endParaRPr>
        </a:p>
        <a:p>
          <a:pPr>
            <a:lnSpc>
              <a:spcPts val="1100"/>
            </a:lnSpc>
          </a:pPr>
          <a:r>
            <a:rPr kumimoji="0" lang="en-CA" sz="850" b="1" i="0" u="none" strike="noStrike" kern="0" cap="none" spc="0" normalizeH="0" baseline="0" noProof="0">
              <a:ln>
                <a:noFill/>
              </a:ln>
              <a:solidFill>
                <a:srgbClr val="FF0000"/>
              </a:solidFill>
              <a:effectLst/>
              <a:uLnTx/>
              <a:uFillTx/>
              <a:latin typeface="+mn-lt"/>
              <a:ea typeface="+mn-ea"/>
              <a:cs typeface="+mn-cs"/>
            </a:rPr>
            <a:t>NON COMPRIS DANS LES FRAIS DE PORT</a:t>
          </a:r>
          <a:r>
            <a:rPr lang="en-CA" sz="850" b="0">
              <a:solidFill>
                <a:srgbClr val="FF0000"/>
              </a:solidFill>
            </a:rPr>
            <a:t>: </a:t>
          </a:r>
          <a:r>
            <a:rPr lang="en-CA" sz="750" b="1">
              <a:solidFill>
                <a:sysClr val="windowText" lastClr="000000"/>
              </a:solidFill>
            </a:rPr>
            <a:t>taxes locales, TVA, frais de courtage et le dédouanement ou tout autre frais imposé par le pays importateur.</a:t>
          </a:r>
          <a:r>
            <a:rPr lang="en-CA" sz="750" b="0">
              <a:solidFill>
                <a:sysClr val="windowText" lastClr="000000"/>
              </a:solidFill>
            </a:rPr>
            <a:t>  Le </a:t>
          </a:r>
          <a:r>
            <a:rPr lang="en-CA" sz="750" b="0"/>
            <a:t>transporteur (Fedex, UPS, DHL...) retiendra la marchandise à la douane et vous contactera (par téléphone ou courriel) pour vous demander de payer ces frais. S'ils sont payés, ils livrent, sinon ils renvoient la la  				marchandise à l'expéditeur ou la détruisent.</a:t>
          </a:r>
        </a:p>
      </xdr:txBody>
    </xdr:sp>
    <xdr:clientData/>
  </xdr:twoCellAnchor>
  <xdr:twoCellAnchor>
    <xdr:from>
      <xdr:col>0</xdr:col>
      <xdr:colOff>19050</xdr:colOff>
      <xdr:row>39</xdr:row>
      <xdr:rowOff>19051</xdr:rowOff>
    </xdr:from>
    <xdr:to>
      <xdr:col>18</xdr:col>
      <xdr:colOff>0</xdr:colOff>
      <xdr:row>44</xdr:row>
      <xdr:rowOff>95251</xdr:rowOff>
    </xdr:to>
    <xdr:sp macro="" textlink="Vars!C213">
      <xdr:nvSpPr>
        <xdr:cNvPr id="22" name="Textbox_Paid" hidden="1">
          <a:extLst>
            <a:ext uri="{FF2B5EF4-FFF2-40B4-BE49-F238E27FC236}">
              <a16:creationId xmlns:a16="http://schemas.microsoft.com/office/drawing/2014/main" id="{00000000-0008-0000-0200-000016000000}"/>
            </a:ext>
          </a:extLst>
        </xdr:cNvPr>
        <xdr:cNvSpPr txBox="1"/>
      </xdr:nvSpPr>
      <xdr:spPr>
        <a:xfrm>
          <a:off x="19050" y="5305426"/>
          <a:ext cx="721995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62CC7DE6-65CF-422B-8D38-3E67C66B17EF}" type="TxLink">
            <a:rPr lang="en-US" sz="1800" b="1" i="0" u="none" strike="noStrike">
              <a:solidFill>
                <a:srgbClr val="FF0000"/>
              </a:solidFill>
              <a:effectLst/>
              <a:latin typeface="Calibri"/>
              <a:ea typeface="+mn-ea"/>
              <a:cs typeface="Calibri"/>
            </a:rPr>
            <a:pPr algn="ctr"/>
            <a:t>PAIEMENT COMPLET REÇU 1900 janvier 0
par      Montant dû: 0</a:t>
          </a:fld>
          <a:endParaRPr lang="en-CA" sz="2800" b="1">
            <a:solidFill>
              <a:srgbClr val="FF0000"/>
            </a:solidFill>
            <a:effectLst/>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7</xdr:col>
          <xdr:colOff>25400</xdr:colOff>
          <xdr:row>6</xdr:row>
          <xdr:rowOff>25400</xdr:rowOff>
        </xdr:from>
        <xdr:to>
          <xdr:col>8</xdr:col>
          <xdr:colOff>127000</xdr:colOff>
          <xdr:row>7</xdr:row>
          <xdr:rowOff>25400</xdr:rowOff>
        </xdr:to>
        <xdr:sp macro="" textlink="">
          <xdr:nvSpPr>
            <xdr:cNvPr id="99342" name="CheckboxSoftwareHardware" descr="Detailed Prices" hidden="1">
              <a:extLst>
                <a:ext uri="{63B3BB69-23CF-44E3-9099-C40C66FF867C}">
                  <a14:compatExt spid="_x0000_s99342"/>
                </a:ext>
                <a:ext uri="{FF2B5EF4-FFF2-40B4-BE49-F238E27FC236}">
                  <a16:creationId xmlns:a16="http://schemas.microsoft.com/office/drawing/2014/main" id="{00000000-0008-0000-0200-00000E8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787400</xdr:colOff>
          <xdr:row>5</xdr:row>
          <xdr:rowOff>25400</xdr:rowOff>
        </xdr:from>
        <xdr:to>
          <xdr:col>10</xdr:col>
          <xdr:colOff>127000</xdr:colOff>
          <xdr:row>6</xdr:row>
          <xdr:rowOff>25400</xdr:rowOff>
        </xdr:to>
        <xdr:sp macro="" textlink="">
          <xdr:nvSpPr>
            <xdr:cNvPr id="99343" name="CheckboxFilledByCustomer" descr="Detailed Prices" hidden="1">
              <a:extLst>
                <a:ext uri="{63B3BB69-23CF-44E3-9099-C40C66FF867C}">
                  <a14:compatExt spid="_x0000_s99343"/>
                </a:ext>
                <a:ext uri="{FF2B5EF4-FFF2-40B4-BE49-F238E27FC236}">
                  <a16:creationId xmlns:a16="http://schemas.microsoft.com/office/drawing/2014/main" id="{00000000-0008-0000-0200-00000F8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787400</xdr:colOff>
          <xdr:row>6</xdr:row>
          <xdr:rowOff>25400</xdr:rowOff>
        </xdr:from>
        <xdr:to>
          <xdr:col>10</xdr:col>
          <xdr:colOff>127000</xdr:colOff>
          <xdr:row>7</xdr:row>
          <xdr:rowOff>25400</xdr:rowOff>
        </xdr:to>
        <xdr:sp macro="" textlink="">
          <xdr:nvSpPr>
            <xdr:cNvPr id="99344" name="CheckBoxInternetDownload" descr="Detailed Prices" hidden="1">
              <a:extLst>
                <a:ext uri="{63B3BB69-23CF-44E3-9099-C40C66FF867C}">
                  <a14:compatExt spid="_x0000_s99344"/>
                </a:ext>
                <a:ext uri="{FF2B5EF4-FFF2-40B4-BE49-F238E27FC236}">
                  <a16:creationId xmlns:a16="http://schemas.microsoft.com/office/drawing/2014/main" id="{00000000-0008-0000-0200-0000108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4</xdr:col>
      <xdr:colOff>0</xdr:colOff>
      <xdr:row>48</xdr:row>
      <xdr:rowOff>104775</xdr:rowOff>
    </xdr:from>
    <xdr:to>
      <xdr:col>15</xdr:col>
      <xdr:colOff>330272</xdr:colOff>
      <xdr:row>52</xdr:row>
      <xdr:rowOff>50176</xdr:rowOff>
    </xdr:to>
    <xdr:sp macro="" textlink="">
      <xdr:nvSpPr>
        <xdr:cNvPr id="5" name="Textbox_AdvancePayment" hidden="1">
          <a:extLst>
            <a:ext uri="{FF2B5EF4-FFF2-40B4-BE49-F238E27FC236}">
              <a16:creationId xmlns:a16="http://schemas.microsoft.com/office/drawing/2014/main" id="{00000000-0008-0000-0200-000005000000}"/>
            </a:ext>
          </a:extLst>
        </xdr:cNvPr>
        <xdr:cNvSpPr txBox="1"/>
      </xdr:nvSpPr>
      <xdr:spPr>
        <a:xfrm>
          <a:off x="857250" y="6591300"/>
          <a:ext cx="5016572" cy="4788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800" b="1">
              <a:solidFill>
                <a:srgbClr val="92D050"/>
              </a:solidFill>
              <a:effectLst/>
              <a:latin typeface="+mn-lt"/>
              <a:ea typeface="+mn-ea"/>
              <a:cs typeface="+mn-cs"/>
            </a:rPr>
            <a:t>Émis pour Paiement d'Avance</a:t>
          </a:r>
        </a:p>
      </xdr:txBody>
    </xdr:sp>
    <xdr:clientData/>
  </xdr:twoCellAnchor>
  <mc:AlternateContent xmlns:mc="http://schemas.openxmlformats.org/markup-compatibility/2006">
    <mc:Choice xmlns:a14="http://schemas.microsoft.com/office/drawing/2010/main" Requires="a14">
      <xdr:twoCellAnchor editAs="oneCell">
        <xdr:from>
          <xdr:col>16</xdr:col>
          <xdr:colOff>0</xdr:colOff>
          <xdr:row>60</xdr:row>
          <xdr:rowOff>180975</xdr:rowOff>
        </xdr:from>
        <xdr:to>
          <xdr:col>17</xdr:col>
          <xdr:colOff>644405</xdr:colOff>
          <xdr:row>61</xdr:row>
          <xdr:rowOff>189423</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a:extLst>
                <a:ext uri="{84589F7E-364E-4C9E-8A38-B11213B215E9}">
                  <a14:cameraTool cellRange="FLAGS_IndexMatch" spid="_x0000_s1542034"/>
                </a:ext>
              </a:extLst>
            </xdr:cNvPicPr>
          </xdr:nvPicPr>
          <xdr:blipFill>
            <a:blip xmlns:r="http://schemas.openxmlformats.org/officeDocument/2006/relationships" r:embed="rId4"/>
            <a:srcRect/>
            <a:stretch>
              <a:fillRect/>
            </a:stretch>
          </xdr:blipFill>
          <xdr:spPr bwMode="auto">
            <a:xfrm>
              <a:off x="5943600" y="8401050"/>
              <a:ext cx="1215905" cy="208473"/>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xdr:twoCellAnchor>
    <xdr:from>
      <xdr:col>20</xdr:col>
      <xdr:colOff>4761</xdr:colOff>
      <xdr:row>55</xdr:row>
      <xdr:rowOff>34925</xdr:rowOff>
    </xdr:from>
    <xdr:to>
      <xdr:col>33</xdr:col>
      <xdr:colOff>7142</xdr:colOff>
      <xdr:row>57</xdr:row>
      <xdr:rowOff>136525</xdr:rowOff>
    </xdr:to>
    <xdr:sp macro="" textlink="">
      <xdr:nvSpPr>
        <xdr:cNvPr id="17" name="Textbox_Title2En" hidden="1">
          <a:extLst>
            <a:ext uri="{FF2B5EF4-FFF2-40B4-BE49-F238E27FC236}">
              <a16:creationId xmlns:a16="http://schemas.microsoft.com/office/drawing/2014/main" id="{00000000-0008-0000-0200-000011000000}"/>
            </a:ext>
          </a:extLst>
        </xdr:cNvPr>
        <xdr:cNvSpPr txBox="1"/>
      </xdr:nvSpPr>
      <xdr:spPr>
        <a:xfrm>
          <a:off x="7358061" y="7454900"/>
          <a:ext cx="5279231" cy="368300"/>
        </a:xfrm>
        <a:prstGeom prst="rect">
          <a:avLst/>
        </a:prstGeom>
        <a:solidFill>
          <a:srgbClr val="B4D9FA"/>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tIns="0" rIns="0" bIns="0" rtlCol="0" anchor="t"/>
        <a:lstStyle/>
        <a:p>
          <a:pPr>
            <a:lnSpc>
              <a:spcPts val="1100"/>
            </a:lnSpc>
          </a:pPr>
          <a:r>
            <a:rPr lang="en-CA" sz="850" b="1">
              <a:solidFill>
                <a:srgbClr val="FF0000"/>
              </a:solidFill>
            </a:rPr>
            <a:t>PRICES VALID ONLY FOR OUR SALES TERMS &amp; CONDITIONS </a:t>
          </a:r>
          <a:r>
            <a:rPr lang="en-CA" sz="750" b="0"/>
            <a:t>(see</a:t>
          </a:r>
          <a:r>
            <a:rPr lang="en-CA" sz="750" b="0" baseline="0"/>
            <a:t> next page). </a:t>
          </a:r>
          <a:r>
            <a:rPr kumimoji="0" lang="en-CA" sz="850" b="1" i="0" u="none" strike="noStrike" kern="0" cap="none" spc="0" normalizeH="0" baseline="0" noProof="0">
              <a:ln>
                <a:noFill/>
              </a:ln>
              <a:solidFill>
                <a:srgbClr val="FF0000"/>
              </a:solidFill>
              <a:effectLst/>
              <a:uLnTx/>
              <a:uFillTx/>
              <a:latin typeface="+mn-lt"/>
              <a:ea typeface="+mn-ea"/>
              <a:cs typeface="+mn-cs"/>
            </a:rPr>
            <a:t>INTERNATIONAL ORDERS MUST BE PREPAID </a:t>
          </a:r>
          <a:r>
            <a:rPr lang="en-CA" sz="750" b="0"/>
            <a:t>(Visa, Mastercard or Wire Transfer, see bank information below). Prices are the same for all payment methods.</a:t>
          </a:r>
        </a:p>
        <a:p>
          <a:pPr>
            <a:lnSpc>
              <a:spcPts val="1100"/>
            </a:lnSpc>
          </a:pPr>
          <a:endParaRPr lang="en-CA" sz="850" b="0"/>
        </a:p>
      </xdr:txBody>
    </xdr:sp>
    <xdr:clientData/>
  </xdr:twoCellAnchor>
  <mc:AlternateContent xmlns:mc="http://schemas.openxmlformats.org/markup-compatibility/2006">
    <mc:Choice xmlns:a14="http://schemas.microsoft.com/office/drawing/2010/main" Requires="a14">
      <xdr:twoCellAnchor>
        <xdr:from>
          <xdr:col>5</xdr:col>
          <xdr:colOff>0</xdr:colOff>
          <xdr:row>56</xdr:row>
          <xdr:rowOff>25400</xdr:rowOff>
        </xdr:from>
        <xdr:to>
          <xdr:col>8</xdr:col>
          <xdr:colOff>63500</xdr:colOff>
          <xdr:row>56</xdr:row>
          <xdr:rowOff>177800</xdr:rowOff>
        </xdr:to>
        <xdr:sp macro="" textlink="">
          <xdr:nvSpPr>
            <xdr:cNvPr id="99333" name="Button 5" hidden="1">
              <a:extLst>
                <a:ext uri="{63B3BB69-23CF-44E3-9099-C40C66FF867C}">
                  <a14:compatExt spid="_x0000_s99333"/>
                </a:ext>
                <a:ext uri="{FF2B5EF4-FFF2-40B4-BE49-F238E27FC236}">
                  <a16:creationId xmlns:a16="http://schemas.microsoft.com/office/drawing/2014/main" id="{00000000-0008-0000-0200-0000058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200" b="0" i="0" u="none" strike="noStrike" baseline="0">
                  <a:solidFill>
                    <a:srgbClr val="000000"/>
                  </a:solidFill>
                  <a:latin typeface="Calibri" pitchFamily="2" charset="0"/>
                  <a:cs typeface="Calibri" pitchFamily="2" charset="0"/>
                </a:rPr>
                <a:t>Paid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101600</xdr:colOff>
          <xdr:row>56</xdr:row>
          <xdr:rowOff>25400</xdr:rowOff>
        </xdr:from>
        <xdr:to>
          <xdr:col>4</xdr:col>
          <xdr:colOff>393700</xdr:colOff>
          <xdr:row>56</xdr:row>
          <xdr:rowOff>177800</xdr:rowOff>
        </xdr:to>
        <xdr:sp macro="" textlink="">
          <xdr:nvSpPr>
            <xdr:cNvPr id="99370" name="$ Avance" hidden="1">
              <a:extLst>
                <a:ext uri="{63B3BB69-23CF-44E3-9099-C40C66FF867C}">
                  <a14:compatExt spid="_x0000_s99370"/>
                </a:ext>
                <a:ext uri="{FF2B5EF4-FFF2-40B4-BE49-F238E27FC236}">
                  <a16:creationId xmlns:a16="http://schemas.microsoft.com/office/drawing/2014/main" id="{00000000-0008-0000-0200-00002A8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200" b="0" i="0" u="none" strike="noStrike" baseline="0">
                  <a:solidFill>
                    <a:srgbClr val="000000"/>
                  </a:solidFill>
                  <a:latin typeface="Calibri" pitchFamily="2" charset="0"/>
                  <a:cs typeface="Calibri" pitchFamily="2" charset="0"/>
                </a:rPr>
                <a:t>$ Avance</a:t>
              </a:r>
            </a:p>
          </xdr:txBody>
        </xdr:sp>
        <xdr:clientData fPrintsWithSheet="0"/>
      </xdr:twoCellAnchor>
    </mc:Choice>
    <mc:Fallback/>
  </mc:AlternateContent>
  <xdr:twoCellAnchor>
    <xdr:from>
      <xdr:col>3</xdr:col>
      <xdr:colOff>213378</xdr:colOff>
      <xdr:row>62</xdr:row>
      <xdr:rowOff>26468</xdr:rowOff>
    </xdr:from>
    <xdr:to>
      <xdr:col>6</xdr:col>
      <xdr:colOff>211050</xdr:colOff>
      <xdr:row>63</xdr:row>
      <xdr:rowOff>28849</xdr:rowOff>
    </xdr:to>
    <xdr:sp macro="" textlink="AccountNumber">
      <xdr:nvSpPr>
        <xdr:cNvPr id="8" name="Textbox_AccountNumber1">
          <a:extLst>
            <a:ext uri="{FF2B5EF4-FFF2-40B4-BE49-F238E27FC236}">
              <a16:creationId xmlns:a16="http://schemas.microsoft.com/office/drawing/2014/main" id="{00000000-0008-0000-0200-000008000000}"/>
            </a:ext>
          </a:extLst>
        </xdr:cNvPr>
        <xdr:cNvSpPr txBox="1"/>
      </xdr:nvSpPr>
      <xdr:spPr>
        <a:xfrm>
          <a:off x="803928" y="8646593"/>
          <a:ext cx="1045422" cy="2024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a:lnSpc>
              <a:spcPts val="900"/>
            </a:lnSpc>
          </a:pPr>
          <a:fld id="{05221814-F8BD-4505-BFC9-753E7BC4DF38}" type="TxLink">
            <a:rPr lang="en-US" sz="850" b="0" i="0" u="none" strike="noStrike">
              <a:solidFill>
                <a:srgbClr val="000000"/>
              </a:solidFill>
              <a:latin typeface="Calibri"/>
              <a:cs typeface="Calibri"/>
            </a:rPr>
            <a:pPr>
              <a:lnSpc>
                <a:spcPts val="900"/>
              </a:lnSpc>
            </a:pPr>
            <a:t>49025-7301681</a:t>
          </a:fld>
          <a:endParaRPr lang="en-US" sz="850"/>
        </a:p>
      </xdr:txBody>
    </xdr:sp>
    <xdr:clientData/>
  </xdr:twoCellAnchor>
  <xdr:twoCellAnchor>
    <xdr:from>
      <xdr:col>0</xdr:col>
      <xdr:colOff>0</xdr:colOff>
      <xdr:row>61</xdr:row>
      <xdr:rowOff>2955</xdr:rowOff>
    </xdr:from>
    <xdr:to>
      <xdr:col>15</xdr:col>
      <xdr:colOff>41122</xdr:colOff>
      <xdr:row>65</xdr:row>
      <xdr:rowOff>28355</xdr:rowOff>
    </xdr:to>
    <xdr:sp macro="" textlink="">
      <xdr:nvSpPr>
        <xdr:cNvPr id="10" name="Textbox_BankInfo1En" hidden="1">
          <a:extLst>
            <a:ext uri="{FF2B5EF4-FFF2-40B4-BE49-F238E27FC236}">
              <a16:creationId xmlns:a16="http://schemas.microsoft.com/office/drawing/2014/main" id="{00000000-0008-0000-0200-00000A000000}"/>
            </a:ext>
          </a:extLst>
        </xdr:cNvPr>
        <xdr:cNvSpPr txBox="1"/>
      </xdr:nvSpPr>
      <xdr:spPr>
        <a:xfrm>
          <a:off x="0" y="8423055"/>
          <a:ext cx="5584672" cy="82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marL="0" marR="0" lvl="0" indent="0" defTabSz="914400" eaLnBrk="1" fontAlgn="auto" latinLnBrk="0" hangingPunct="1">
            <a:lnSpc>
              <a:spcPts val="900"/>
            </a:lnSpc>
            <a:spcBef>
              <a:spcPts val="0"/>
            </a:spcBef>
            <a:spcAft>
              <a:spcPts val="0"/>
            </a:spcAft>
            <a:buClrTx/>
            <a:buSzTx/>
            <a:buFontTx/>
            <a:buNone/>
            <a:tabLst/>
            <a:defRPr/>
          </a:pPr>
          <a:r>
            <a:rPr kumimoji="0" lang="en-US" sz="850" b="0" i="0" u="none" strike="noStrike" kern="0" cap="none" spc="0" normalizeH="0" baseline="0" noProof="0">
              <a:ln>
                <a:noFill/>
              </a:ln>
              <a:solidFill>
                <a:prstClr val="black"/>
              </a:solidFill>
              <a:effectLst/>
              <a:uLnTx/>
              <a:uFillTx/>
              <a:latin typeface="+mn-lt"/>
              <a:ea typeface="+mn-ea"/>
              <a:cs typeface="+mn-cs"/>
            </a:rPr>
            <a:t>TD Canada Trust, </a:t>
          </a:r>
          <a:r>
            <a:rPr lang="en-US" sz="850" b="0" i="0" baseline="0">
              <a:solidFill>
                <a:schemeClr val="dk1"/>
              </a:solidFill>
              <a:effectLst/>
              <a:latin typeface="+mn-lt"/>
              <a:ea typeface="+mn-ea"/>
              <a:cs typeface="+mn-cs"/>
            </a:rPr>
            <a:t>3400 Chemin Quatre-Bourgeois, Quebec, QC, G1W 2L3, CANADA</a:t>
          </a:r>
          <a:r>
            <a:rPr kumimoji="0" lang="en-US" sz="850" b="0" i="0" u="none" strike="noStrike" kern="0" cap="none" spc="0" normalizeH="0" baseline="0" noProof="0">
              <a:ln>
                <a:noFill/>
              </a:ln>
              <a:solidFill>
                <a:prstClr val="black"/>
              </a:solidFill>
              <a:effectLst/>
              <a:uLnTx/>
              <a:uFillTx/>
              <a:latin typeface="+mn-lt"/>
              <a:ea typeface="+mn-ea"/>
              <a:cs typeface="+mn-cs"/>
            </a:rPr>
            <a:t>
</a:t>
          </a:r>
          <a:r>
            <a:rPr lang="en-US" sz="850" b="0" i="1" baseline="0">
              <a:solidFill>
                <a:schemeClr val="dk1"/>
              </a:solidFill>
              <a:effectLst/>
              <a:latin typeface="+mn-lt"/>
              <a:ea typeface="+mn-ea"/>
              <a:cs typeface="+mn-cs"/>
            </a:rPr>
            <a:t>Swift code →</a:t>
          </a:r>
          <a:r>
            <a:rPr lang="en-US" sz="850" b="0" i="0" baseline="0">
              <a:solidFill>
                <a:schemeClr val="dk1"/>
              </a:solidFill>
              <a:effectLst/>
              <a:latin typeface="+mn-lt"/>
              <a:ea typeface="+mn-ea"/>
              <a:cs typeface="+mn-cs"/>
            </a:rPr>
            <a:t> TDOMCATTTOR           </a:t>
          </a:r>
          <a:r>
            <a:rPr lang="en-US" sz="850" b="0" i="1" baseline="0">
              <a:solidFill>
                <a:schemeClr val="dk1"/>
              </a:solidFill>
              <a:effectLst/>
              <a:latin typeface="+mn-lt"/>
              <a:ea typeface="+mn-ea"/>
              <a:cs typeface="+mn-cs"/>
            </a:rPr>
            <a:t>Beneficiary →</a:t>
          </a:r>
          <a:r>
            <a:rPr lang="en-US" sz="850" b="0" i="0" baseline="0">
              <a:solidFill>
                <a:schemeClr val="dk1"/>
              </a:solidFill>
              <a:effectLst/>
              <a:latin typeface="+mn-lt"/>
              <a:ea typeface="+mn-ea"/>
              <a:cs typeface="+mn-cs"/>
            </a:rPr>
            <a:t> Regent Instruments Inc.</a:t>
          </a:r>
          <a:endParaRPr kumimoji="0" lang="en-US" sz="85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en-US" sz="850" b="0" i="0" u="none" strike="noStrike" kern="0" cap="none" spc="0" normalizeH="0" baseline="0" noProof="0">
              <a:ln>
                <a:noFill/>
              </a:ln>
              <a:solidFill>
                <a:prstClr val="black"/>
              </a:solidFill>
              <a:effectLst/>
              <a:uLnTx/>
              <a:uFillTx/>
              <a:latin typeface="+mn-lt"/>
              <a:ea typeface="+mn-ea"/>
              <a:cs typeface="+mn-cs"/>
            </a:rPr>
            <a:t>    004              </a:t>
          </a:r>
        </a:p>
        <a:p>
          <a:pPr marL="0" marR="0" lvl="0" indent="0" defTabSz="914400" eaLnBrk="1" fontAlgn="auto" latinLnBrk="0" hangingPunct="1">
            <a:lnSpc>
              <a:spcPts val="900"/>
            </a:lnSpc>
            <a:spcBef>
              <a:spcPts val="0"/>
            </a:spcBef>
            <a:spcAft>
              <a:spcPts val="0"/>
            </a:spcAft>
            <a:buClrTx/>
            <a:buSzTx/>
            <a:buFontTx/>
            <a:buNone/>
            <a:tabLst/>
            <a:defRPr/>
          </a:pPr>
          <a:r>
            <a:rPr kumimoji="0" lang="en-US" sz="850" b="0" i="1" u="none" strike="noStrike" kern="0" cap="none" spc="0" normalizeH="0" baseline="0" noProof="0">
              <a:ln>
                <a:noFill/>
              </a:ln>
              <a:solidFill>
                <a:prstClr val="black"/>
              </a:solidFill>
              <a:effectLst/>
              <a:uLnTx/>
              <a:uFillTx/>
              <a:latin typeface="+mn-lt"/>
              <a:ea typeface="+mn-ea"/>
              <a:cs typeface="+mn-cs"/>
            </a:rPr>
            <a:t>     ↑                          ↑             ↑ 	</a:t>
          </a:r>
          <a:r>
            <a:rPr kumimoji="0" lang="en-US" sz="850" b="0" i="1" u="none" strike="noStrike" kern="0" cap="none" spc="0" normalizeH="0" baseline="0" noProof="0">
              <a:ln>
                <a:noFill/>
              </a:ln>
              <a:solidFill>
                <a:prstClr val="black">
                  <a:lumMod val="65000"/>
                  <a:lumOff val="35000"/>
                </a:prstClr>
              </a:solidFill>
              <a:effectLst/>
              <a:uLnTx/>
              <a:uFillTx/>
              <a:latin typeface="+mn-lt"/>
              <a:ea typeface="+mn-ea"/>
              <a:cs typeface="+mn-cs"/>
            </a:rPr>
            <a:t>Do not use the IBAN but SWIFT wire tansfer system. </a:t>
          </a:r>
          <a:r>
            <a:rPr kumimoji="0" lang="en-US" sz="850" b="0" i="1"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ts val="900"/>
            </a:lnSpc>
            <a:spcBef>
              <a:spcPts val="0"/>
            </a:spcBef>
            <a:spcAft>
              <a:spcPts val="0"/>
            </a:spcAft>
            <a:buClrTx/>
            <a:buSzTx/>
            <a:buFontTx/>
            <a:buNone/>
            <a:tabLst/>
            <a:defRPr/>
          </a:pPr>
          <a:r>
            <a:rPr kumimoji="0" lang="en-US" sz="850" b="0" i="1" u="none" strike="noStrike" kern="0" cap="none" spc="0" normalizeH="0" baseline="0" noProof="0">
              <a:ln>
                <a:noFill/>
              </a:ln>
              <a:solidFill>
                <a:prstClr val="black"/>
              </a:solidFill>
              <a:effectLst/>
              <a:uLnTx/>
              <a:uFillTx/>
              <a:latin typeface="+mn-lt"/>
              <a:ea typeface="+mn-ea"/>
              <a:cs typeface="+mn-cs"/>
            </a:rPr>
            <a:t>Financial               Transit#   Account#	</a:t>
          </a:r>
          <a:r>
            <a:rPr kumimoji="0" lang="en-US" sz="850" b="0" i="1" u="none" strike="noStrike" kern="0" cap="none" spc="0" normalizeH="0" baseline="0" noProof="0">
              <a:ln>
                <a:noFill/>
              </a:ln>
              <a:solidFill>
                <a:prstClr val="black">
                  <a:lumMod val="65000"/>
                  <a:lumOff val="35000"/>
                </a:prstClr>
              </a:solidFill>
              <a:effectLst/>
              <a:uLnTx/>
              <a:uFillTx/>
              <a:latin typeface="+mn-lt"/>
              <a:ea typeface="+mn-ea"/>
              <a:cs typeface="+mn-cs"/>
            </a:rPr>
            <a:t>IBAN is for Europe, SWIFT for America and Australia.</a:t>
          </a:r>
        </a:p>
        <a:p>
          <a:pPr marL="0" marR="0" lvl="0" indent="0" defTabSz="914400" eaLnBrk="1" fontAlgn="auto" latinLnBrk="0" hangingPunct="1">
            <a:lnSpc>
              <a:spcPts val="900"/>
            </a:lnSpc>
            <a:spcBef>
              <a:spcPts val="0"/>
            </a:spcBef>
            <a:spcAft>
              <a:spcPts val="0"/>
            </a:spcAft>
            <a:buClrTx/>
            <a:buSzTx/>
            <a:buFontTx/>
            <a:buNone/>
            <a:tabLst/>
            <a:defRPr/>
          </a:pPr>
          <a:r>
            <a:rPr kumimoji="0" lang="en-US" sz="850" b="0" i="1" u="none" strike="noStrike" kern="0" cap="none" spc="0" normalizeH="0" baseline="0" noProof="0">
              <a:ln>
                <a:noFill/>
              </a:ln>
              <a:solidFill>
                <a:prstClr val="black"/>
              </a:solidFill>
              <a:effectLst/>
              <a:uLnTx/>
              <a:uFillTx/>
              <a:latin typeface="+mn-lt"/>
              <a:ea typeface="+mn-ea"/>
              <a:cs typeface="+mn-cs"/>
            </a:rPr>
            <a:t>institution#          (branch)	</a:t>
          </a:r>
          <a:endParaRPr kumimoji="0" lang="en-US" sz="850" b="0" i="1" u="none" strike="noStrike" kern="0" cap="none" spc="0" normalizeH="0" baseline="0" noProof="0">
            <a:ln>
              <a:noFill/>
            </a:ln>
            <a:solidFill>
              <a:prstClr val="black">
                <a:lumMod val="65000"/>
                <a:lumOff val="35000"/>
              </a:prstClr>
            </a:solidFill>
            <a:effectLst/>
            <a:uLnTx/>
            <a:uFillTx/>
            <a:latin typeface="+mn-lt"/>
            <a:ea typeface="+mn-ea"/>
            <a:cs typeface="+mn-cs"/>
          </a:endParaRPr>
        </a:p>
      </xdr:txBody>
    </xdr:sp>
    <xdr:clientData/>
  </xdr:twoCellAnchor>
  <xdr:twoCellAnchor>
    <xdr:from>
      <xdr:col>0</xdr:col>
      <xdr:colOff>0</xdr:colOff>
      <xdr:row>60</xdr:row>
      <xdr:rowOff>200024</xdr:rowOff>
    </xdr:from>
    <xdr:to>
      <xdr:col>15</xdr:col>
      <xdr:colOff>45518</xdr:colOff>
      <xdr:row>65</xdr:row>
      <xdr:rowOff>25399</xdr:rowOff>
    </xdr:to>
    <xdr:sp macro="" textlink="">
      <xdr:nvSpPr>
        <xdr:cNvPr id="14" name="Textbox_BankInfo1Fr">
          <a:extLst>
            <a:ext uri="{FF2B5EF4-FFF2-40B4-BE49-F238E27FC236}">
              <a16:creationId xmlns:a16="http://schemas.microsoft.com/office/drawing/2014/main" id="{00000000-0008-0000-0200-00000E000000}"/>
            </a:ext>
          </a:extLst>
        </xdr:cNvPr>
        <xdr:cNvSpPr txBox="1"/>
      </xdr:nvSpPr>
      <xdr:spPr>
        <a:xfrm>
          <a:off x="0" y="8420099"/>
          <a:ext cx="5589068" cy="82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eaLnBrk="1" fontAlgn="auto" latinLnBrk="0" hangingPunct="1">
            <a:lnSpc>
              <a:spcPts val="900"/>
            </a:lnSpc>
          </a:pPr>
          <a:r>
            <a:rPr lang="en-US" sz="850" b="0" i="0" baseline="0">
              <a:solidFill>
                <a:schemeClr val="dk1"/>
              </a:solidFill>
              <a:effectLst/>
              <a:latin typeface="+mn-lt"/>
              <a:ea typeface="+mn-ea"/>
              <a:cs typeface="+mn-cs"/>
            </a:rPr>
            <a:t>TD Canada Trust, 3400 Chemin Quatre-Bourgeois, Quebec, QC, G1W 2L3, CANADA</a:t>
          </a:r>
          <a:br>
            <a:rPr lang="en-US" sz="850" b="0" i="0" baseline="0">
              <a:solidFill>
                <a:schemeClr val="dk1"/>
              </a:solidFill>
              <a:effectLst/>
              <a:latin typeface="+mn-lt"/>
              <a:ea typeface="+mn-ea"/>
              <a:cs typeface="+mn-cs"/>
            </a:rPr>
          </a:br>
          <a:r>
            <a:rPr lang="en-US" sz="850" b="0" i="1" baseline="0">
              <a:solidFill>
                <a:schemeClr val="dk1"/>
              </a:solidFill>
              <a:effectLst/>
              <a:latin typeface="+mn-lt"/>
              <a:ea typeface="+mn-ea"/>
              <a:cs typeface="+mn-cs"/>
            </a:rPr>
            <a:t>Code Swift →</a:t>
          </a:r>
          <a:r>
            <a:rPr lang="en-US" sz="850" b="0" i="0" baseline="0">
              <a:solidFill>
                <a:schemeClr val="dk1"/>
              </a:solidFill>
              <a:effectLst/>
              <a:latin typeface="+mn-lt"/>
              <a:ea typeface="+mn-ea"/>
              <a:cs typeface="+mn-cs"/>
            </a:rPr>
            <a:t> TDOMCATTTOR           </a:t>
          </a:r>
          <a:r>
            <a:rPr lang="en-US" sz="850" b="0" i="1" baseline="0">
              <a:solidFill>
                <a:schemeClr val="dk1"/>
              </a:solidFill>
              <a:effectLst/>
              <a:latin typeface="+mn-lt"/>
              <a:ea typeface="+mn-ea"/>
              <a:cs typeface="+mn-cs"/>
            </a:rPr>
            <a:t>Bénéficiaire →</a:t>
          </a:r>
          <a:r>
            <a:rPr lang="en-US" sz="850" b="0" i="0" baseline="0">
              <a:solidFill>
                <a:schemeClr val="dk1"/>
              </a:solidFill>
              <a:effectLst/>
              <a:latin typeface="+mn-lt"/>
              <a:ea typeface="+mn-ea"/>
              <a:cs typeface="+mn-cs"/>
            </a:rPr>
            <a:t> Regent Instruments Inc.</a:t>
          </a:r>
          <a:endParaRPr lang="en-CA" sz="850">
            <a:effectLst/>
          </a:endParaRPr>
        </a:p>
        <a:p>
          <a:pPr eaLnBrk="1" fontAlgn="auto" latinLnBrk="0" hangingPunct="1">
            <a:lnSpc>
              <a:spcPts val="900"/>
            </a:lnSpc>
          </a:pPr>
          <a:r>
            <a:rPr lang="en-US" sz="850" b="0" i="0" baseline="0">
              <a:solidFill>
                <a:schemeClr val="dk1"/>
              </a:solidFill>
              <a:effectLst/>
              <a:latin typeface="+mn-lt"/>
              <a:ea typeface="+mn-ea"/>
              <a:cs typeface="+mn-cs"/>
            </a:rPr>
            <a:t>    004              </a:t>
          </a:r>
        </a:p>
        <a:p>
          <a:pPr marL="0" marR="0" lvl="0" indent="0" defTabSz="914400" eaLnBrk="1" fontAlgn="auto" latinLnBrk="0" hangingPunct="1">
            <a:lnSpc>
              <a:spcPts val="900"/>
            </a:lnSpc>
            <a:spcBef>
              <a:spcPts val="0"/>
            </a:spcBef>
            <a:spcAft>
              <a:spcPts val="0"/>
            </a:spcAft>
            <a:buClrTx/>
            <a:buSzTx/>
            <a:buFontTx/>
            <a:buNone/>
            <a:tabLst/>
            <a:defRPr/>
          </a:pPr>
          <a:r>
            <a:rPr lang="en-CA" sz="850">
              <a:effectLst/>
            </a:rPr>
            <a:t>     ↑                          ↑             ↑ 	</a:t>
          </a:r>
          <a:r>
            <a:rPr kumimoji="0" lang="en-US" sz="850" b="0" i="1" u="none" strike="noStrike" kern="0" cap="none" spc="0" normalizeH="0" baseline="0" noProof="0">
              <a:ln>
                <a:noFill/>
              </a:ln>
              <a:solidFill>
                <a:prstClr val="black">
                  <a:lumMod val="65000"/>
                  <a:lumOff val="35000"/>
                </a:prstClr>
              </a:solidFill>
              <a:effectLst/>
              <a:uLnTx/>
              <a:uFillTx/>
              <a:latin typeface="+mn-lt"/>
              <a:ea typeface="+mn-ea"/>
              <a:cs typeface="+mn-cs"/>
            </a:rPr>
            <a:t>N'utilisez pas l'IBAN mais le système de virement SWIFT</a:t>
          </a:r>
          <a:endParaRPr kumimoji="0" lang="en-CA" sz="85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en-US" sz="850" b="0" i="1" u="none" strike="noStrike" kern="0" cap="none" spc="0" normalizeH="0" baseline="0" noProof="0">
              <a:ln>
                <a:noFill/>
              </a:ln>
              <a:solidFill>
                <a:prstClr val="black"/>
              </a:solidFill>
              <a:effectLst/>
              <a:uLnTx/>
              <a:uFillTx/>
              <a:latin typeface="+mn-lt"/>
              <a:ea typeface="+mn-ea"/>
              <a:cs typeface="+mn-cs"/>
            </a:rPr>
            <a:t>#Institution         #Transit   #Compte	</a:t>
          </a:r>
          <a:r>
            <a:rPr kumimoji="0" lang="en-US" sz="850" b="0" i="1" u="none" strike="noStrike" kern="0" cap="none" spc="0" normalizeH="0" baseline="0" noProof="0">
              <a:ln>
                <a:noFill/>
              </a:ln>
              <a:solidFill>
                <a:prstClr val="black">
                  <a:lumMod val="65000"/>
                  <a:lumOff val="35000"/>
                </a:prstClr>
              </a:solidFill>
              <a:effectLst/>
              <a:uLnTx/>
              <a:uFillTx/>
              <a:latin typeface="+mn-lt"/>
              <a:ea typeface="+mn-ea"/>
              <a:cs typeface="+mn-cs"/>
            </a:rPr>
            <a:t>L'IBAN est pour l'Europe, SWIFT pour l'Amérique et l'Australie.</a:t>
          </a:r>
          <a:r>
            <a:rPr kumimoji="0" lang="en-US" sz="850" b="0" i="1" u="none" strike="noStrike" kern="0" cap="none" spc="0" normalizeH="0" baseline="0" noProof="0">
              <a:ln>
                <a:noFill/>
              </a:ln>
              <a:solidFill>
                <a:prstClr val="black"/>
              </a:solidFill>
              <a:effectLst/>
              <a:uLnTx/>
              <a:uFillTx/>
              <a:latin typeface="+mn-lt"/>
              <a:ea typeface="+mn-ea"/>
              <a:cs typeface="+mn-cs"/>
            </a:rPr>
            <a:t>	</a:t>
          </a:r>
          <a:endParaRPr kumimoji="0" lang="en-CA" sz="85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en-US" sz="850" b="0" i="1" u="none" strike="noStrike" kern="0" cap="none" spc="0" normalizeH="0" baseline="0" noProof="0">
              <a:ln>
                <a:noFill/>
              </a:ln>
              <a:solidFill>
                <a:prstClr val="black"/>
              </a:solidFill>
              <a:effectLst/>
              <a:uLnTx/>
              <a:uFillTx/>
              <a:latin typeface="+mn-lt"/>
              <a:ea typeface="+mn-ea"/>
              <a:cs typeface="+mn-cs"/>
            </a:rPr>
            <a:t>financière         (succursale)	</a:t>
          </a:r>
          <a:endParaRPr kumimoji="0" lang="en-CA" sz="850" b="0" i="0" u="none" strike="noStrike" kern="0" cap="none" spc="0" normalizeH="0" baseline="0" noProof="0">
            <a:ln>
              <a:noFill/>
            </a:ln>
            <a:solidFill>
              <a:prstClr val="black">
                <a:lumMod val="65000"/>
                <a:lumOff val="35000"/>
              </a:prstClr>
            </a:solidFill>
            <a:effectLst/>
            <a:uLnTx/>
            <a:uFillTx/>
            <a:latin typeface="+mn-lt"/>
            <a:ea typeface="+mn-ea"/>
            <a:cs typeface="+mn-cs"/>
          </a:endParaRPr>
        </a:p>
        <a:p>
          <a:pPr eaLnBrk="1" fontAlgn="auto" latinLnBrk="0" hangingPunct="1">
            <a:lnSpc>
              <a:spcPts val="900"/>
            </a:lnSpc>
          </a:pPr>
          <a:endParaRPr lang="en-US" sz="850" b="0" i="1" baseline="0">
            <a:solidFill>
              <a:schemeClr val="tx1">
                <a:lumMod val="65000"/>
                <a:lumOff val="35000"/>
              </a:schemeClr>
            </a:solidFill>
            <a:effectLst/>
            <a:latin typeface="+mn-lt"/>
            <a:ea typeface="+mn-ea"/>
            <a:cs typeface="+mn-cs"/>
          </a:endParaRPr>
        </a:p>
      </xdr:txBody>
    </xdr:sp>
    <xdr:clientData/>
  </xdr:twoCellAnchor>
  <xdr:twoCellAnchor>
    <xdr:from>
      <xdr:col>22</xdr:col>
      <xdr:colOff>247173</xdr:colOff>
      <xdr:row>62</xdr:row>
      <xdr:rowOff>26468</xdr:rowOff>
    </xdr:from>
    <xdr:to>
      <xdr:col>25</xdr:col>
      <xdr:colOff>240933</xdr:colOff>
      <xdr:row>63</xdr:row>
      <xdr:rowOff>26468</xdr:rowOff>
    </xdr:to>
    <xdr:sp macro="" textlink="AccountNumber">
      <xdr:nvSpPr>
        <xdr:cNvPr id="27" name="Textbox_AccountNumber2">
          <a:extLst>
            <a:ext uri="{FF2B5EF4-FFF2-40B4-BE49-F238E27FC236}">
              <a16:creationId xmlns:a16="http://schemas.microsoft.com/office/drawing/2014/main" id="{00000000-0008-0000-0200-00001B000000}"/>
            </a:ext>
          </a:extLst>
        </xdr:cNvPr>
        <xdr:cNvSpPr txBox="1"/>
      </xdr:nvSpPr>
      <xdr:spPr>
        <a:xfrm>
          <a:off x="8133873" y="8646593"/>
          <a:ext cx="1041510"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a:lnSpc>
              <a:spcPts val="900"/>
            </a:lnSpc>
          </a:pPr>
          <a:fld id="{05221814-F8BD-4505-BFC9-753E7BC4DF38}" type="TxLink">
            <a:rPr lang="en-US" sz="850" b="0" i="0" u="none" strike="noStrike">
              <a:solidFill>
                <a:srgbClr val="000000"/>
              </a:solidFill>
              <a:latin typeface="Calibri"/>
              <a:cs typeface="Calibri"/>
            </a:rPr>
            <a:pPr>
              <a:lnSpc>
                <a:spcPts val="900"/>
              </a:lnSpc>
            </a:pPr>
            <a:t>49025-7301681</a:t>
          </a:fld>
          <a:endParaRPr lang="en-US" sz="850"/>
        </a:p>
      </xdr:txBody>
    </xdr:sp>
    <xdr:clientData/>
  </xdr:twoCellAnchor>
  <xdr:twoCellAnchor>
    <xdr:from>
      <xdr:col>19</xdr:col>
      <xdr:colOff>30821</xdr:colOff>
      <xdr:row>61</xdr:row>
      <xdr:rowOff>2955</xdr:rowOff>
    </xdr:from>
    <xdr:to>
      <xdr:col>34</xdr:col>
      <xdr:colOff>75587</xdr:colOff>
      <xdr:row>65</xdr:row>
      <xdr:rowOff>28355</xdr:rowOff>
    </xdr:to>
    <xdr:sp macro="" textlink="">
      <xdr:nvSpPr>
        <xdr:cNvPr id="28" name="Textbox_BankInfo2En" hidden="1">
          <a:extLst>
            <a:ext uri="{FF2B5EF4-FFF2-40B4-BE49-F238E27FC236}">
              <a16:creationId xmlns:a16="http://schemas.microsoft.com/office/drawing/2014/main" id="{00000000-0008-0000-0200-00001C000000}"/>
            </a:ext>
          </a:extLst>
        </xdr:cNvPr>
        <xdr:cNvSpPr txBox="1"/>
      </xdr:nvSpPr>
      <xdr:spPr>
        <a:xfrm>
          <a:off x="7326971" y="8423055"/>
          <a:ext cx="5588316" cy="82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eaLnBrk="1" fontAlgn="auto" latinLnBrk="0" hangingPunct="1">
            <a:lnSpc>
              <a:spcPts val="900"/>
            </a:lnSpc>
          </a:pPr>
          <a:r>
            <a:rPr lang="en-US" sz="850" b="0" i="0" baseline="0">
              <a:solidFill>
                <a:schemeClr val="dk1"/>
              </a:solidFill>
              <a:effectLst/>
              <a:latin typeface="+mn-lt"/>
              <a:ea typeface="+mn-ea"/>
              <a:cs typeface="+mn-cs"/>
            </a:rPr>
            <a:t>TD Canada Trust, 3400 Chemin Quatre-Bourgeois, Quebec, QC, G1W 2L3, CANADA</a:t>
          </a:r>
          <a:br>
            <a:rPr lang="en-US" sz="850" b="0" i="0" baseline="0">
              <a:solidFill>
                <a:schemeClr val="dk1"/>
              </a:solidFill>
              <a:effectLst/>
              <a:latin typeface="+mn-lt"/>
              <a:ea typeface="+mn-ea"/>
              <a:cs typeface="+mn-cs"/>
            </a:rPr>
          </a:br>
          <a:r>
            <a:rPr lang="en-US" sz="850" b="0" i="1" baseline="0">
              <a:solidFill>
                <a:schemeClr val="dk1"/>
              </a:solidFill>
              <a:effectLst/>
              <a:latin typeface="+mn-lt"/>
              <a:ea typeface="+mn-ea"/>
              <a:cs typeface="+mn-cs"/>
            </a:rPr>
            <a:t>Swift code →</a:t>
          </a:r>
          <a:r>
            <a:rPr lang="en-US" sz="850" b="0" i="0" baseline="0">
              <a:solidFill>
                <a:schemeClr val="dk1"/>
              </a:solidFill>
              <a:effectLst/>
              <a:latin typeface="+mn-lt"/>
              <a:ea typeface="+mn-ea"/>
              <a:cs typeface="+mn-cs"/>
            </a:rPr>
            <a:t> TDOMCATTTOR           </a:t>
          </a:r>
          <a:r>
            <a:rPr lang="en-US" sz="850" b="0" i="1" baseline="0">
              <a:solidFill>
                <a:schemeClr val="dk1"/>
              </a:solidFill>
              <a:effectLst/>
              <a:latin typeface="+mn-lt"/>
              <a:ea typeface="+mn-ea"/>
              <a:cs typeface="+mn-cs"/>
            </a:rPr>
            <a:t>Beneficiary →</a:t>
          </a:r>
          <a:r>
            <a:rPr lang="en-US" sz="850" b="0" i="0" baseline="0">
              <a:solidFill>
                <a:schemeClr val="dk1"/>
              </a:solidFill>
              <a:effectLst/>
              <a:latin typeface="+mn-lt"/>
              <a:ea typeface="+mn-ea"/>
              <a:cs typeface="+mn-cs"/>
            </a:rPr>
            <a:t> Regent Instruments Inc.</a:t>
          </a:r>
          <a:endParaRPr lang="en-CA" sz="850">
            <a:effectLst/>
          </a:endParaRPr>
        </a:p>
        <a:p>
          <a:pPr eaLnBrk="1" fontAlgn="auto" latinLnBrk="0" hangingPunct="1">
            <a:lnSpc>
              <a:spcPts val="900"/>
            </a:lnSpc>
          </a:pPr>
          <a:r>
            <a:rPr lang="en-US" sz="850" b="0" i="0" baseline="0">
              <a:solidFill>
                <a:schemeClr val="dk1"/>
              </a:solidFill>
              <a:effectLst/>
              <a:latin typeface="+mn-lt"/>
              <a:ea typeface="+mn-ea"/>
              <a:cs typeface="+mn-cs"/>
            </a:rPr>
            <a:t>    004              </a:t>
          </a:r>
          <a:endParaRPr lang="en-CA" sz="850">
            <a:effectLst/>
          </a:endParaRPr>
        </a:p>
        <a:p>
          <a:pPr marL="0" marR="0" lvl="0" indent="0" defTabSz="914400" eaLnBrk="1" fontAlgn="auto" latinLnBrk="0" hangingPunct="1">
            <a:lnSpc>
              <a:spcPts val="900"/>
            </a:lnSpc>
            <a:spcBef>
              <a:spcPts val="0"/>
            </a:spcBef>
            <a:spcAft>
              <a:spcPts val="0"/>
            </a:spcAft>
            <a:buClrTx/>
            <a:buSzTx/>
            <a:buFontTx/>
            <a:buNone/>
            <a:tabLst/>
            <a:defRPr/>
          </a:pPr>
          <a:r>
            <a:rPr kumimoji="0" lang="en-US" sz="850" b="0" i="1" u="none" strike="noStrike" kern="0" cap="none" spc="0" normalizeH="0" baseline="0" noProof="0">
              <a:ln>
                <a:noFill/>
              </a:ln>
              <a:solidFill>
                <a:prstClr val="black"/>
              </a:solidFill>
              <a:effectLst/>
              <a:uLnTx/>
              <a:uFillTx/>
              <a:latin typeface="+mn-lt"/>
              <a:ea typeface="+mn-ea"/>
              <a:cs typeface="+mn-cs"/>
            </a:rPr>
            <a:t>     ↑                          ↑             ↑ 	</a:t>
          </a:r>
          <a:r>
            <a:rPr kumimoji="0" lang="en-US" sz="850" b="0" i="1" u="none" strike="noStrike" kern="0" cap="none" spc="0" normalizeH="0" baseline="0" noProof="0">
              <a:ln>
                <a:noFill/>
              </a:ln>
              <a:solidFill>
                <a:prstClr val="black">
                  <a:lumMod val="65000"/>
                  <a:lumOff val="35000"/>
                </a:prstClr>
              </a:solidFill>
              <a:effectLst/>
              <a:uLnTx/>
              <a:uFillTx/>
              <a:latin typeface="+mn-lt"/>
              <a:ea typeface="+mn-ea"/>
              <a:cs typeface="+mn-cs"/>
            </a:rPr>
            <a:t>Do not use the IBAN but SWIFT wire tansfer system. </a:t>
          </a:r>
          <a:r>
            <a:rPr kumimoji="0" lang="en-US" sz="850" b="0" i="1"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ts val="900"/>
            </a:lnSpc>
            <a:spcBef>
              <a:spcPts val="0"/>
            </a:spcBef>
            <a:spcAft>
              <a:spcPts val="0"/>
            </a:spcAft>
            <a:buClrTx/>
            <a:buSzTx/>
            <a:buFontTx/>
            <a:buNone/>
            <a:tabLst/>
            <a:defRPr/>
          </a:pPr>
          <a:r>
            <a:rPr kumimoji="0" lang="en-US" sz="850" b="0" i="1" u="none" strike="noStrike" kern="0" cap="none" spc="0" normalizeH="0" baseline="0" noProof="0">
              <a:ln>
                <a:noFill/>
              </a:ln>
              <a:solidFill>
                <a:prstClr val="black"/>
              </a:solidFill>
              <a:effectLst/>
              <a:uLnTx/>
              <a:uFillTx/>
              <a:latin typeface="+mn-lt"/>
              <a:ea typeface="+mn-ea"/>
              <a:cs typeface="+mn-cs"/>
            </a:rPr>
            <a:t>Financial               Transit#   Account#	</a:t>
          </a:r>
          <a:r>
            <a:rPr kumimoji="0" lang="en-US" sz="850" b="0" i="1" u="none" strike="noStrike" kern="0" cap="none" spc="0" normalizeH="0" baseline="0" noProof="0">
              <a:ln>
                <a:noFill/>
              </a:ln>
              <a:solidFill>
                <a:prstClr val="black">
                  <a:lumMod val="65000"/>
                  <a:lumOff val="35000"/>
                </a:prstClr>
              </a:solidFill>
              <a:effectLst/>
              <a:uLnTx/>
              <a:uFillTx/>
              <a:latin typeface="+mn-lt"/>
              <a:ea typeface="+mn-ea"/>
              <a:cs typeface="+mn-cs"/>
            </a:rPr>
            <a:t>IBAN is for Europe, SWIFT for America and Australia.</a:t>
          </a:r>
        </a:p>
        <a:p>
          <a:pPr marL="0" marR="0" lvl="0" indent="0" defTabSz="914400" eaLnBrk="1" fontAlgn="auto" latinLnBrk="0" hangingPunct="1">
            <a:lnSpc>
              <a:spcPts val="900"/>
            </a:lnSpc>
            <a:spcBef>
              <a:spcPts val="0"/>
            </a:spcBef>
            <a:spcAft>
              <a:spcPts val="0"/>
            </a:spcAft>
            <a:buClrTx/>
            <a:buSzTx/>
            <a:buFontTx/>
            <a:buNone/>
            <a:tabLst/>
            <a:defRPr/>
          </a:pPr>
          <a:r>
            <a:rPr kumimoji="0" lang="en-US" sz="850" b="0" i="1" u="none" strike="noStrike" kern="0" cap="none" spc="0" normalizeH="0" baseline="0" noProof="0">
              <a:ln>
                <a:noFill/>
              </a:ln>
              <a:solidFill>
                <a:prstClr val="black"/>
              </a:solidFill>
              <a:effectLst/>
              <a:uLnTx/>
              <a:uFillTx/>
              <a:latin typeface="+mn-lt"/>
              <a:ea typeface="+mn-ea"/>
              <a:cs typeface="+mn-cs"/>
            </a:rPr>
            <a:t>institution#          (branch)	</a:t>
          </a:r>
          <a:endParaRPr kumimoji="0" lang="en-US" sz="850" b="0" i="1" u="none" strike="noStrike" kern="0" cap="none" spc="0" normalizeH="0" baseline="0" noProof="0">
            <a:ln>
              <a:noFill/>
            </a:ln>
            <a:solidFill>
              <a:prstClr val="black">
                <a:lumMod val="65000"/>
                <a:lumOff val="35000"/>
              </a:prstClr>
            </a:solidFill>
            <a:effectLst/>
            <a:uLnTx/>
            <a:uFillTx/>
            <a:latin typeface="+mn-lt"/>
            <a:ea typeface="+mn-ea"/>
            <a:cs typeface="+mn-cs"/>
          </a:endParaRPr>
        </a:p>
      </xdr:txBody>
    </xdr:sp>
    <xdr:clientData/>
  </xdr:twoCellAnchor>
  <xdr:twoCellAnchor>
    <xdr:from>
      <xdr:col>19</xdr:col>
      <xdr:colOff>35513</xdr:colOff>
      <xdr:row>61</xdr:row>
      <xdr:rowOff>1904</xdr:rowOff>
    </xdr:from>
    <xdr:to>
      <xdr:col>34</xdr:col>
      <xdr:colOff>81030</xdr:colOff>
      <xdr:row>65</xdr:row>
      <xdr:rowOff>25399</xdr:rowOff>
    </xdr:to>
    <xdr:sp macro="" textlink="">
      <xdr:nvSpPr>
        <xdr:cNvPr id="29" name="Textbox_BankInfo2Fr">
          <a:extLst>
            <a:ext uri="{FF2B5EF4-FFF2-40B4-BE49-F238E27FC236}">
              <a16:creationId xmlns:a16="http://schemas.microsoft.com/office/drawing/2014/main" id="{00000000-0008-0000-0200-00001D000000}"/>
            </a:ext>
          </a:extLst>
        </xdr:cNvPr>
        <xdr:cNvSpPr txBox="1"/>
      </xdr:nvSpPr>
      <xdr:spPr>
        <a:xfrm>
          <a:off x="7289753" y="8452484"/>
          <a:ext cx="5554777" cy="815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eaLnBrk="1" fontAlgn="auto" latinLnBrk="0" hangingPunct="1">
            <a:lnSpc>
              <a:spcPts val="900"/>
            </a:lnSpc>
          </a:pPr>
          <a:r>
            <a:rPr lang="en-US" sz="850" b="0" i="0" baseline="0">
              <a:solidFill>
                <a:schemeClr val="dk1"/>
              </a:solidFill>
              <a:effectLst/>
              <a:latin typeface="+mn-lt"/>
              <a:ea typeface="+mn-ea"/>
              <a:cs typeface="+mn-cs"/>
            </a:rPr>
            <a:t>TD Canada Trust, 3400 Chemin Quatre-Bourgeois, Quebec, QC, G1W 2L3, CANADA</a:t>
          </a:r>
          <a:br>
            <a:rPr lang="en-US" sz="850" b="0" i="0" baseline="0">
              <a:solidFill>
                <a:schemeClr val="dk1"/>
              </a:solidFill>
              <a:effectLst/>
              <a:latin typeface="+mn-lt"/>
              <a:ea typeface="+mn-ea"/>
              <a:cs typeface="+mn-cs"/>
            </a:rPr>
          </a:br>
          <a:r>
            <a:rPr lang="en-US" sz="850" b="0" i="1" baseline="0">
              <a:solidFill>
                <a:schemeClr val="dk1"/>
              </a:solidFill>
              <a:effectLst/>
              <a:latin typeface="+mn-lt"/>
              <a:ea typeface="+mn-ea"/>
              <a:cs typeface="+mn-cs"/>
            </a:rPr>
            <a:t>Code Swift →</a:t>
          </a:r>
          <a:r>
            <a:rPr lang="en-US" sz="850" b="0" i="0" baseline="0">
              <a:solidFill>
                <a:schemeClr val="dk1"/>
              </a:solidFill>
              <a:effectLst/>
              <a:latin typeface="+mn-lt"/>
              <a:ea typeface="+mn-ea"/>
              <a:cs typeface="+mn-cs"/>
            </a:rPr>
            <a:t> TDOMCATTTOR           </a:t>
          </a:r>
          <a:r>
            <a:rPr lang="en-US" sz="850" b="0" i="1" baseline="0">
              <a:solidFill>
                <a:schemeClr val="dk1"/>
              </a:solidFill>
              <a:effectLst/>
              <a:latin typeface="+mn-lt"/>
              <a:ea typeface="+mn-ea"/>
              <a:cs typeface="+mn-cs"/>
            </a:rPr>
            <a:t>Bénéficiaire →</a:t>
          </a:r>
          <a:r>
            <a:rPr lang="en-US" sz="850" b="0" i="0" baseline="0">
              <a:solidFill>
                <a:schemeClr val="dk1"/>
              </a:solidFill>
              <a:effectLst/>
              <a:latin typeface="+mn-lt"/>
              <a:ea typeface="+mn-ea"/>
              <a:cs typeface="+mn-cs"/>
            </a:rPr>
            <a:t> Regent Instruments Inc.</a:t>
          </a:r>
          <a:endParaRPr lang="en-CA" sz="850">
            <a:effectLst/>
          </a:endParaRPr>
        </a:p>
        <a:p>
          <a:pPr eaLnBrk="1" fontAlgn="auto" latinLnBrk="0" hangingPunct="1">
            <a:lnSpc>
              <a:spcPts val="900"/>
            </a:lnSpc>
          </a:pPr>
          <a:r>
            <a:rPr lang="en-US" sz="850" b="0" i="0" baseline="0">
              <a:solidFill>
                <a:schemeClr val="dk1"/>
              </a:solidFill>
              <a:effectLst/>
              <a:latin typeface="+mn-lt"/>
              <a:ea typeface="+mn-ea"/>
              <a:cs typeface="+mn-cs"/>
            </a:rPr>
            <a:t>    004              </a:t>
          </a:r>
        </a:p>
        <a:p>
          <a:pPr marL="0" marR="0" lvl="0" indent="0" defTabSz="914400" eaLnBrk="1" fontAlgn="auto" latinLnBrk="0" hangingPunct="1">
            <a:lnSpc>
              <a:spcPts val="900"/>
            </a:lnSpc>
            <a:spcBef>
              <a:spcPts val="0"/>
            </a:spcBef>
            <a:spcAft>
              <a:spcPts val="0"/>
            </a:spcAft>
            <a:buClrTx/>
            <a:buSzTx/>
            <a:buFontTx/>
            <a:buNone/>
            <a:tabLst/>
            <a:defRPr/>
          </a:pPr>
          <a:r>
            <a:rPr lang="en-CA" sz="850">
              <a:effectLst/>
            </a:rPr>
            <a:t>     ↑                          ↑             ↑ 	</a:t>
          </a:r>
          <a:r>
            <a:rPr kumimoji="0" lang="en-US" sz="850" b="0" i="1" u="none" strike="noStrike" kern="0" cap="none" spc="0" normalizeH="0" baseline="0" noProof="0">
              <a:ln>
                <a:noFill/>
              </a:ln>
              <a:solidFill>
                <a:prstClr val="black">
                  <a:lumMod val="65000"/>
                  <a:lumOff val="35000"/>
                </a:prstClr>
              </a:solidFill>
              <a:effectLst/>
              <a:uLnTx/>
              <a:uFillTx/>
              <a:latin typeface="+mn-lt"/>
              <a:ea typeface="+mn-ea"/>
              <a:cs typeface="+mn-cs"/>
            </a:rPr>
            <a:t>N'utilisez pas l'IBAN mais le système de virement SWIFT</a:t>
          </a:r>
          <a:endParaRPr kumimoji="0" lang="en-CA" sz="85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en-US" sz="850" b="0" i="1" u="none" strike="noStrike" kern="0" cap="none" spc="0" normalizeH="0" baseline="0" noProof="0">
              <a:ln>
                <a:noFill/>
              </a:ln>
              <a:solidFill>
                <a:prstClr val="black"/>
              </a:solidFill>
              <a:effectLst/>
              <a:uLnTx/>
              <a:uFillTx/>
              <a:latin typeface="+mn-lt"/>
              <a:ea typeface="+mn-ea"/>
              <a:cs typeface="+mn-cs"/>
            </a:rPr>
            <a:t>#Institution         #Transit   #Compte	</a:t>
          </a:r>
          <a:r>
            <a:rPr kumimoji="0" lang="en-US" sz="850" b="0" i="1" u="none" strike="noStrike" kern="0" cap="none" spc="0" normalizeH="0" baseline="0" noProof="0">
              <a:ln>
                <a:noFill/>
              </a:ln>
              <a:solidFill>
                <a:prstClr val="black">
                  <a:lumMod val="65000"/>
                  <a:lumOff val="35000"/>
                </a:prstClr>
              </a:solidFill>
              <a:effectLst/>
              <a:uLnTx/>
              <a:uFillTx/>
              <a:latin typeface="+mn-lt"/>
              <a:ea typeface="+mn-ea"/>
              <a:cs typeface="+mn-cs"/>
            </a:rPr>
            <a:t>L'IBAN est pour l'Europe, SWIFT pour l'Amérique et l'Australie.</a:t>
          </a:r>
          <a:r>
            <a:rPr kumimoji="0" lang="en-US" sz="850" b="0" i="1" u="none" strike="noStrike" kern="0" cap="none" spc="0" normalizeH="0" baseline="0" noProof="0">
              <a:ln>
                <a:noFill/>
              </a:ln>
              <a:solidFill>
                <a:prstClr val="black"/>
              </a:solidFill>
              <a:effectLst/>
              <a:uLnTx/>
              <a:uFillTx/>
              <a:latin typeface="+mn-lt"/>
              <a:ea typeface="+mn-ea"/>
              <a:cs typeface="+mn-cs"/>
            </a:rPr>
            <a:t>	</a:t>
          </a:r>
          <a:endParaRPr kumimoji="0" lang="en-CA" sz="85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en-US" sz="850" b="0" i="1" u="none" strike="noStrike" kern="0" cap="none" spc="0" normalizeH="0" baseline="0" noProof="0">
              <a:ln>
                <a:noFill/>
              </a:ln>
              <a:solidFill>
                <a:prstClr val="black"/>
              </a:solidFill>
              <a:effectLst/>
              <a:uLnTx/>
              <a:uFillTx/>
              <a:latin typeface="+mn-lt"/>
              <a:ea typeface="+mn-ea"/>
              <a:cs typeface="+mn-cs"/>
            </a:rPr>
            <a:t>financière         (succursale)	</a:t>
          </a:r>
          <a:endParaRPr kumimoji="0" lang="en-CA" sz="850" b="0" i="0" u="none" strike="noStrike" kern="0" cap="none" spc="0" normalizeH="0" baseline="0" noProof="0">
            <a:ln>
              <a:noFill/>
            </a:ln>
            <a:solidFill>
              <a:prstClr val="black">
                <a:lumMod val="65000"/>
                <a:lumOff val="35000"/>
              </a:prstClr>
            </a:solidFill>
            <a:effectLst/>
            <a:uLnTx/>
            <a:uFillTx/>
            <a:latin typeface="+mn-lt"/>
            <a:ea typeface="+mn-ea"/>
            <a:cs typeface="+mn-cs"/>
          </a:endParaRPr>
        </a:p>
        <a:p>
          <a:pPr eaLnBrk="1" fontAlgn="auto" latinLnBrk="0" hangingPunct="1">
            <a:lnSpc>
              <a:spcPts val="900"/>
            </a:lnSpc>
          </a:pPr>
          <a:endParaRPr lang="en-US" sz="850" b="0" i="1" baseline="0">
            <a:solidFill>
              <a:schemeClr val="tx1">
                <a:lumMod val="65000"/>
                <a:lumOff val="35000"/>
              </a:schemeClr>
            </a:solidFill>
            <a:effectLst/>
            <a:latin typeface="+mn-lt"/>
            <a:ea typeface="+mn-ea"/>
            <a:cs typeface="+mn-cs"/>
          </a:endParaRPr>
        </a:p>
        <a:p>
          <a:pPr>
            <a:lnSpc>
              <a:spcPts val="900"/>
            </a:lnSpc>
          </a:pPr>
          <a:endParaRPr lang="en-US" sz="850"/>
        </a:p>
      </xdr:txBody>
    </xdr:sp>
    <xdr:clientData/>
  </xdr:twoCellAnchor>
  <mc:AlternateContent xmlns:mc="http://schemas.openxmlformats.org/markup-compatibility/2006">
    <mc:Choice xmlns:a14="http://schemas.microsoft.com/office/drawing/2010/main" Requires="a14">
      <xdr:twoCellAnchor>
        <xdr:from>
          <xdr:col>11</xdr:col>
          <xdr:colOff>63500</xdr:colOff>
          <xdr:row>56</xdr:row>
          <xdr:rowOff>25400</xdr:rowOff>
        </xdr:from>
        <xdr:to>
          <xdr:col>13</xdr:col>
          <xdr:colOff>215900</xdr:colOff>
          <xdr:row>56</xdr:row>
          <xdr:rowOff>177800</xdr:rowOff>
        </xdr:to>
        <xdr:sp macro="" textlink="">
          <xdr:nvSpPr>
            <xdr:cNvPr id="773940" name="Button 2868" hidden="1">
              <a:extLst>
                <a:ext uri="{63B3BB69-23CF-44E3-9099-C40C66FF867C}">
                  <a14:compatExt spid="_x0000_s773940"/>
                </a:ext>
                <a:ext uri="{FF2B5EF4-FFF2-40B4-BE49-F238E27FC236}">
                  <a16:creationId xmlns:a16="http://schemas.microsoft.com/office/drawing/2014/main" id="{00000000-0008-0000-0200-000034CF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200" b="0" i="0" u="none" strike="noStrike" baseline="0">
                  <a:solidFill>
                    <a:srgbClr val="000000"/>
                  </a:solidFill>
                  <a:latin typeface="Calibri" pitchFamily="2" charset="0"/>
                  <a:cs typeface="Calibri" pitchFamily="2" charset="0"/>
                </a:rPr>
                <a:t>Tariffs</a:t>
              </a:r>
            </a:p>
          </xdr:txBody>
        </xdr:sp>
        <xdr:clientData fPrintsWithSheet="0"/>
      </xdr:twoCellAnchor>
    </mc:Choice>
    <mc:Fallback/>
  </mc:AlternateContent>
  <xdr:twoCellAnchor>
    <xdr:from>
      <xdr:col>19</xdr:col>
      <xdr:colOff>19050</xdr:colOff>
      <xdr:row>39</xdr:row>
      <xdr:rowOff>19050</xdr:rowOff>
    </xdr:from>
    <xdr:to>
      <xdr:col>36</xdr:col>
      <xdr:colOff>714375</xdr:colOff>
      <xdr:row>44</xdr:row>
      <xdr:rowOff>85725</xdr:rowOff>
    </xdr:to>
    <xdr:sp macro="" textlink="Vars!D213">
      <xdr:nvSpPr>
        <xdr:cNvPr id="25" name="Textbox_Paid_Split" hidden="1">
          <a:extLst>
            <a:ext uri="{FF2B5EF4-FFF2-40B4-BE49-F238E27FC236}">
              <a16:creationId xmlns:a16="http://schemas.microsoft.com/office/drawing/2014/main" id="{00000000-0008-0000-0200-000019000000}"/>
            </a:ext>
          </a:extLst>
        </xdr:cNvPr>
        <xdr:cNvSpPr txBox="1"/>
      </xdr:nvSpPr>
      <xdr:spPr>
        <a:xfrm>
          <a:off x="7315200" y="5305425"/>
          <a:ext cx="7210425" cy="733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D8DBE94D-3B6B-4C8A-B8F5-F225D7C52ADC}" type="TxLink">
            <a:rPr lang="en-US" sz="1800" b="1" i="0" u="none" strike="noStrike">
              <a:solidFill>
                <a:srgbClr val="FF0000"/>
              </a:solidFill>
              <a:effectLst/>
              <a:latin typeface="Calibri"/>
              <a:ea typeface="+mn-ea"/>
              <a:cs typeface="Calibri"/>
            </a:rPr>
            <a:pPr algn="ctr"/>
            <a:t>PAIEMENT COMPLET REÇU 2025 septembre 12
par Wire Transfer     Montant dû: 0</a:t>
          </a:fld>
          <a:endParaRPr lang="en-CA" sz="1800" b="1">
            <a:solidFill>
              <a:srgbClr val="FF0000"/>
            </a:solidFill>
            <a:effectLst/>
            <a:latin typeface="+mn-lt"/>
            <a:ea typeface="+mn-ea"/>
            <a:cs typeface="+mn-cs"/>
          </a:endParaRPr>
        </a:p>
      </xdr:txBody>
    </xdr:sp>
    <xdr:clientData/>
  </xdr:twoCellAnchor>
  <xdr:twoCellAnchor>
    <xdr:from>
      <xdr:col>4</xdr:col>
      <xdr:colOff>9524</xdr:colOff>
      <xdr:row>43</xdr:row>
      <xdr:rowOff>76200</xdr:rowOff>
    </xdr:from>
    <xdr:to>
      <xdr:col>17</xdr:col>
      <xdr:colOff>685800</xdr:colOff>
      <xdr:row>49</xdr:row>
      <xdr:rowOff>19050</xdr:rowOff>
    </xdr:to>
    <xdr:sp macro="" textlink="Vars!C215">
      <xdr:nvSpPr>
        <xdr:cNvPr id="31" name="Textbox_ShippedOrDownload" hidden="1">
          <a:extLst>
            <a:ext uri="{FF2B5EF4-FFF2-40B4-BE49-F238E27FC236}">
              <a16:creationId xmlns:a16="http://schemas.microsoft.com/office/drawing/2014/main" id="{00000000-0008-0000-0200-00001F000000}"/>
            </a:ext>
          </a:extLst>
        </xdr:cNvPr>
        <xdr:cNvSpPr txBox="1"/>
      </xdr:nvSpPr>
      <xdr:spPr>
        <a:xfrm>
          <a:off x="866774" y="6029325"/>
          <a:ext cx="633412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896BDD32-8811-4003-A581-E11A9877BD75}" type="TxLink">
            <a:rPr lang="en-US" sz="1400" b="1" i="0" u="none" strike="noStrike">
              <a:solidFill>
                <a:srgbClr val="00B0F0"/>
              </a:solidFill>
              <a:effectLst/>
              <a:latin typeface="Calibri"/>
              <a:ea typeface="+mn-ea"/>
              <a:cs typeface="Calibri"/>
            </a:rPr>
            <a:pPr algn="l"/>
            <a:t>Expédié 1900 janvier 0     par      AWB: </a:t>
          </a:fld>
          <a:endParaRPr lang="en-CA" sz="1400" b="1">
            <a:solidFill>
              <a:srgbClr val="00B0F0"/>
            </a:solidFill>
            <a:effectLst/>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xdr:from>
          <xdr:col>8</xdr:col>
          <xdr:colOff>203200</xdr:colOff>
          <xdr:row>56</xdr:row>
          <xdr:rowOff>25400</xdr:rowOff>
        </xdr:from>
        <xdr:to>
          <xdr:col>10</xdr:col>
          <xdr:colOff>177800</xdr:colOff>
          <xdr:row>56</xdr:row>
          <xdr:rowOff>177800</xdr:rowOff>
        </xdr:to>
        <xdr:sp macro="" textlink="">
          <xdr:nvSpPr>
            <xdr:cNvPr id="774092" name="Button 3020" hidden="1">
              <a:extLst>
                <a:ext uri="{63B3BB69-23CF-44E3-9099-C40C66FF867C}">
                  <a14:compatExt spid="_x0000_s774092"/>
                </a:ext>
                <a:ext uri="{FF2B5EF4-FFF2-40B4-BE49-F238E27FC236}">
                  <a16:creationId xmlns:a16="http://schemas.microsoft.com/office/drawing/2014/main" id="{00000000-0008-0000-0200-0000CCCF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200" b="0" i="0" u="none" strike="noStrike" baseline="0">
                  <a:solidFill>
                    <a:srgbClr val="000000"/>
                  </a:solidFill>
                  <a:latin typeface="Calibri" pitchFamily="2" charset="0"/>
                  <a:cs typeface="Calibri" pitchFamily="2" charset="0"/>
                </a:rPr>
                <a:t>Shipped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61</xdr:row>
          <xdr:rowOff>0</xdr:rowOff>
        </xdr:from>
        <xdr:to>
          <xdr:col>36</xdr:col>
          <xdr:colOff>644405</xdr:colOff>
          <xdr:row>62</xdr:row>
          <xdr:rowOff>8448</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a:extLst>
                <a:ext uri="{84589F7E-364E-4C9E-8A38-B11213B215E9}">
                  <a14:cameraTool cellRange="FLAGS_IndexMatch_Split" spid="_x0000_s1542035"/>
                </a:ext>
              </a:extLst>
            </xdr:cNvPicPr>
          </xdr:nvPicPr>
          <xdr:blipFill>
            <a:blip xmlns:r="http://schemas.openxmlformats.org/officeDocument/2006/relationships" r:embed="rId5"/>
            <a:srcRect/>
            <a:stretch>
              <a:fillRect/>
            </a:stretch>
          </xdr:blipFill>
          <xdr:spPr bwMode="auto">
            <a:xfrm>
              <a:off x="13239750" y="8420100"/>
              <a:ext cx="1215905" cy="208473"/>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xdr:twoCellAnchor>
    <xdr:from>
      <xdr:col>23</xdr:col>
      <xdr:colOff>0</xdr:colOff>
      <xdr:row>43</xdr:row>
      <xdr:rowOff>0</xdr:rowOff>
    </xdr:from>
    <xdr:to>
      <xdr:col>34</xdr:col>
      <xdr:colOff>361951</xdr:colOff>
      <xdr:row>46</xdr:row>
      <xdr:rowOff>133349</xdr:rowOff>
    </xdr:to>
    <xdr:sp macro="" textlink="Vars!D214">
      <xdr:nvSpPr>
        <xdr:cNvPr id="773920" name="Textbox_Shipped" hidden="1">
          <a:extLst>
            <a:ext uri="{FF2B5EF4-FFF2-40B4-BE49-F238E27FC236}">
              <a16:creationId xmlns:a16="http://schemas.microsoft.com/office/drawing/2014/main" id="{00000000-0008-0000-0200-000020CF0B00}"/>
            </a:ext>
          </a:extLst>
        </xdr:cNvPr>
        <xdr:cNvSpPr txBox="1"/>
      </xdr:nvSpPr>
      <xdr:spPr>
        <a:xfrm>
          <a:off x="8153400" y="5819775"/>
          <a:ext cx="5048251" cy="5333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984929CE-6F52-4BFA-99FB-084F87421503}" type="TxLink">
            <a:rPr lang="en-US" sz="1400" b="1" i="0" u="none" strike="noStrike">
              <a:solidFill>
                <a:srgbClr val="00B0F0"/>
              </a:solidFill>
              <a:effectLst/>
              <a:latin typeface="Calibri"/>
              <a:ea typeface="+mn-ea"/>
              <a:cs typeface="Calibri"/>
            </a:rPr>
            <a:pPr algn="ctr"/>
            <a:t>Expédié 2026 février 18     par Fedex     AWB: </a:t>
          </a:fld>
          <a:endParaRPr lang="en-CA" sz="1400" b="1">
            <a:solidFill>
              <a:srgbClr val="00B0F0"/>
            </a:solidFill>
            <a:effectLst/>
            <a:latin typeface="+mn-lt"/>
            <a:ea typeface="+mn-ea"/>
            <a:cs typeface="+mn-cs"/>
          </a:endParaRPr>
        </a:p>
      </xdr:txBody>
    </xdr:sp>
    <xdr:clientData/>
  </xdr:twoCellAnchor>
  <xdr:twoCellAnchor>
    <xdr:from>
      <xdr:col>23</xdr:col>
      <xdr:colOff>0</xdr:colOff>
      <xdr:row>49</xdr:row>
      <xdr:rowOff>91440</xdr:rowOff>
    </xdr:from>
    <xdr:to>
      <xdr:col>34</xdr:col>
      <xdr:colOff>350520</xdr:colOff>
      <xdr:row>55</xdr:row>
      <xdr:rowOff>7620</xdr:rowOff>
    </xdr:to>
    <xdr:sp macro="" textlink="" fLocksText="0">
      <xdr:nvSpPr>
        <xdr:cNvPr id="773921" name="Textbox_Comments_En2" hidden="1">
          <a:extLst>
            <a:ext uri="{FF2B5EF4-FFF2-40B4-BE49-F238E27FC236}">
              <a16:creationId xmlns:a16="http://schemas.microsoft.com/office/drawing/2014/main" id="{00000000-0008-0000-0200-000021CF0B00}"/>
            </a:ext>
          </a:extLst>
        </xdr:cNvPr>
        <xdr:cNvSpPr txBox="1"/>
      </xdr:nvSpPr>
      <xdr:spPr>
        <a:xfrm>
          <a:off x="8153400" y="6844665"/>
          <a:ext cx="5036820" cy="716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0" i="0" u="none" strike="noStrike">
              <a:solidFill>
                <a:sysClr val="windowText" lastClr="000000"/>
              </a:solidFill>
              <a:effectLst/>
              <a:latin typeface="Calibri"/>
              <a:ea typeface="+mn-ea"/>
              <a:cs typeface="Calibri"/>
            </a:rPr>
            <a:t>Comments:</a:t>
          </a:r>
        </a:p>
      </xdr:txBody>
    </xdr:sp>
    <xdr:clientData fLocksWithSheet="0"/>
  </xdr:twoCellAnchor>
  <mc:AlternateContent xmlns:mc="http://schemas.openxmlformats.org/markup-compatibility/2006">
    <mc:Choice xmlns:a14="http://schemas.microsoft.com/office/drawing/2010/main" Requires="a14">
      <xdr:twoCellAnchor>
        <xdr:from>
          <xdr:col>25</xdr:col>
          <xdr:colOff>0</xdr:colOff>
          <xdr:row>56</xdr:row>
          <xdr:rowOff>25400</xdr:rowOff>
        </xdr:from>
        <xdr:to>
          <xdr:col>28</xdr:col>
          <xdr:colOff>63500</xdr:colOff>
          <xdr:row>56</xdr:row>
          <xdr:rowOff>177800</xdr:rowOff>
        </xdr:to>
        <xdr:sp macro="" textlink="">
          <xdr:nvSpPr>
            <xdr:cNvPr id="901666" name="Button 3618" hidden="1">
              <a:extLst>
                <a:ext uri="{63B3BB69-23CF-44E3-9099-C40C66FF867C}">
                  <a14:compatExt spid="_x0000_s901666"/>
                </a:ext>
                <a:ext uri="{FF2B5EF4-FFF2-40B4-BE49-F238E27FC236}">
                  <a16:creationId xmlns:a16="http://schemas.microsoft.com/office/drawing/2014/main" id="{00000000-0008-0000-0200-000022C20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200" b="0" i="0" u="none" strike="noStrike" baseline="0">
                  <a:solidFill>
                    <a:srgbClr val="000000"/>
                  </a:solidFill>
                  <a:latin typeface="Calibri" pitchFamily="2" charset="0"/>
                  <a:cs typeface="Calibri" pitchFamily="2" charset="0"/>
                </a:rPr>
                <a:t>Paid2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xdr:col>
          <xdr:colOff>203200</xdr:colOff>
          <xdr:row>56</xdr:row>
          <xdr:rowOff>25400</xdr:rowOff>
        </xdr:from>
        <xdr:to>
          <xdr:col>30</xdr:col>
          <xdr:colOff>177800</xdr:colOff>
          <xdr:row>56</xdr:row>
          <xdr:rowOff>177800</xdr:rowOff>
        </xdr:to>
        <xdr:sp macro="" textlink="">
          <xdr:nvSpPr>
            <xdr:cNvPr id="901667" name="Button 3619" hidden="1">
              <a:extLst>
                <a:ext uri="{63B3BB69-23CF-44E3-9099-C40C66FF867C}">
                  <a14:compatExt spid="_x0000_s901667"/>
                </a:ext>
                <a:ext uri="{FF2B5EF4-FFF2-40B4-BE49-F238E27FC236}">
                  <a16:creationId xmlns:a16="http://schemas.microsoft.com/office/drawing/2014/main" id="{00000000-0008-0000-0200-000023C20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200" b="0" i="0" u="none" strike="noStrike" baseline="0">
                  <a:solidFill>
                    <a:srgbClr val="000000"/>
                  </a:solidFill>
                  <a:latin typeface="Calibri" pitchFamily="2" charset="0"/>
                  <a:cs typeface="Calibri" pitchFamily="2" charset="0"/>
                </a:rPr>
                <a:t>Shipped2</a:t>
              </a:r>
            </a:p>
          </xdr:txBody>
        </xdr:sp>
        <xdr:clientData fPrintsWithSheet="0"/>
      </xdr:twoCellAnchor>
    </mc:Choice>
    <mc:Fallback/>
  </mc:AlternateContent>
  <xdr:oneCellAnchor>
    <xdr:from>
      <xdr:col>0</xdr:col>
      <xdr:colOff>0</xdr:colOff>
      <xdr:row>33</xdr:row>
      <xdr:rowOff>102680</xdr:rowOff>
    </xdr:from>
    <xdr:ext cx="7779645" cy="1001941"/>
    <xdr:sp macro="" textlink="">
      <xdr:nvSpPr>
        <xdr:cNvPr id="773922" name="Textbox_InternetWatermark" hidden="1">
          <a:extLst>
            <a:ext uri="{FF2B5EF4-FFF2-40B4-BE49-F238E27FC236}">
              <a16:creationId xmlns:a16="http://schemas.microsoft.com/office/drawing/2014/main" id="{251F69AD-6CD6-4BF2-972C-6DC8D314ACD4}"/>
            </a:ext>
          </a:extLst>
        </xdr:cNvPr>
        <xdr:cNvSpPr txBox="1"/>
      </xdr:nvSpPr>
      <xdr:spPr>
        <a:xfrm rot="19623936">
          <a:off x="0" y="4722305"/>
          <a:ext cx="7779645" cy="1001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r>
            <a:rPr lang="en-CA" sz="6400">
              <a:solidFill>
                <a:schemeClr val="dk1">
                  <a:alpha val="15000"/>
                </a:schemeClr>
              </a:solidFill>
            </a:rPr>
            <a:t>INTERNET DOWNLOAD</a:t>
          </a:r>
        </a:p>
      </xdr:txBody>
    </xdr:sp>
    <xdr:clientData/>
  </xdr:oneCellAnchor>
  <mc:AlternateContent xmlns:mc="http://schemas.openxmlformats.org/markup-compatibility/2006">
    <mc:Choice xmlns:a14="http://schemas.microsoft.com/office/drawing/2010/main" Requires="a14">
      <xdr:twoCellAnchor>
        <xdr:from>
          <xdr:col>1</xdr:col>
          <xdr:colOff>101600</xdr:colOff>
          <xdr:row>56</xdr:row>
          <xdr:rowOff>25400</xdr:rowOff>
        </xdr:from>
        <xdr:to>
          <xdr:col>4</xdr:col>
          <xdr:colOff>393700</xdr:colOff>
          <xdr:row>56</xdr:row>
          <xdr:rowOff>177800</xdr:rowOff>
        </xdr:to>
        <xdr:sp macro="" textlink="">
          <xdr:nvSpPr>
            <xdr:cNvPr id="1139826" name="Button 6258" hidden="1">
              <a:extLst>
                <a:ext uri="{63B3BB69-23CF-44E3-9099-C40C66FF867C}">
                  <a14:compatExt spid="_x0000_s1139826"/>
                </a:ext>
                <a:ext uri="{FF2B5EF4-FFF2-40B4-BE49-F238E27FC236}">
                  <a16:creationId xmlns:a16="http://schemas.microsoft.com/office/drawing/2014/main" id="{00000000-0008-0000-0200-000072641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200" b="0" i="0" u="none" strike="noStrike" baseline="0">
                  <a:solidFill>
                    <a:srgbClr val="000000"/>
                  </a:solidFill>
                  <a:latin typeface="Calibri" pitchFamily="2" charset="0"/>
                  <a:cs typeface="Calibri" pitchFamily="2" charset="0"/>
                </a:rPr>
                <a:t>Annulée</a:t>
              </a:r>
            </a:p>
          </xdr:txBody>
        </xdr:sp>
        <xdr:clientData fPrintsWithSheet="0"/>
      </xdr:twoCellAnchor>
    </mc:Choice>
    <mc:Fallback/>
  </mc:AlternateContent>
  <xdr:oneCellAnchor>
    <xdr:from>
      <xdr:col>1</xdr:col>
      <xdr:colOff>62542</xdr:colOff>
      <xdr:row>22</xdr:row>
      <xdr:rowOff>31799</xdr:rowOff>
    </xdr:from>
    <xdr:ext cx="7779645" cy="2739900"/>
    <xdr:sp macro="" textlink="">
      <xdr:nvSpPr>
        <xdr:cNvPr id="773923" name="Textbox_Annulee" hidden="1">
          <a:extLst>
            <a:ext uri="{FF2B5EF4-FFF2-40B4-BE49-F238E27FC236}">
              <a16:creationId xmlns:a16="http://schemas.microsoft.com/office/drawing/2014/main" id="{B7FBE473-3DAA-4DC5-93E0-B989C7CC9AF5}"/>
            </a:ext>
          </a:extLst>
        </xdr:cNvPr>
        <xdr:cNvSpPr txBox="1"/>
      </xdr:nvSpPr>
      <xdr:spPr>
        <a:xfrm rot="19623936">
          <a:off x="119692" y="3117899"/>
          <a:ext cx="7779645" cy="2739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r>
            <a:rPr lang="en-CA" sz="13800">
              <a:solidFill>
                <a:srgbClr val="FF0000">
                  <a:alpha val="15000"/>
                </a:srgbClr>
              </a:solidFill>
            </a:rPr>
            <a:t>Annulée</a:t>
          </a:r>
        </a:p>
      </xdr:txBody>
    </xdr:sp>
    <xdr:clientData/>
  </xdr:oneCellAnchor>
  <xdr:twoCellAnchor>
    <xdr:from>
      <xdr:col>5</xdr:col>
      <xdr:colOff>177361</xdr:colOff>
      <xdr:row>49</xdr:row>
      <xdr:rowOff>98535</xdr:rowOff>
    </xdr:from>
    <xdr:to>
      <xdr:col>13</xdr:col>
      <xdr:colOff>551793</xdr:colOff>
      <xdr:row>54</xdr:row>
      <xdr:rowOff>45983</xdr:rowOff>
    </xdr:to>
    <xdr:sp macro="" textlink="">
      <xdr:nvSpPr>
        <xdr:cNvPr id="773924" name="Textbox_Boxes" hidden="1">
          <a:extLst>
            <a:ext uri="{FF2B5EF4-FFF2-40B4-BE49-F238E27FC236}">
              <a16:creationId xmlns:a16="http://schemas.microsoft.com/office/drawing/2014/main" id="{66F4AAE0-BB11-4F94-92EB-3B78D688D1F6}"/>
            </a:ext>
          </a:extLst>
        </xdr:cNvPr>
        <xdr:cNvSpPr txBox="1"/>
      </xdr:nvSpPr>
      <xdr:spPr>
        <a:xfrm>
          <a:off x="1556844" y="6818587"/>
          <a:ext cx="3770587" cy="6043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defTabSz="548640">
            <a:tabLst>
              <a:tab pos="457200" algn="l"/>
              <a:tab pos="1097280" algn="l"/>
              <a:tab pos="1737360" algn="l"/>
              <a:tab pos="2468880" algn="l"/>
            </a:tabLst>
          </a:pPr>
          <a:r>
            <a:rPr lang="en-CA" sz="800" b="1">
              <a:solidFill>
                <a:schemeClr val="dk1"/>
              </a:solidFill>
              <a:effectLst/>
              <a:latin typeface="+mn-lt"/>
              <a:ea typeface="+mn-ea"/>
              <a:cs typeface="+mn-cs"/>
            </a:rPr>
            <a:t>123	NetW 11lbs	NetW 5.0kg	GrossW 44lbs	GrossW 20.0kg</a:t>
          </a:r>
        </a:p>
        <a:p>
          <a:pPr defTabSz="548640">
            <a:tabLst>
              <a:tab pos="457200" algn="l"/>
              <a:tab pos="1097280" algn="l"/>
              <a:tab pos="1737360" algn="l"/>
              <a:tab pos="2468880" algn="l"/>
            </a:tabLst>
          </a:pPr>
          <a:r>
            <a:rPr lang="en-CA" sz="800" b="1">
              <a:solidFill>
                <a:schemeClr val="dk1"/>
              </a:solidFill>
              <a:effectLst/>
              <a:latin typeface="+mn-lt"/>
              <a:ea typeface="+mn-ea"/>
              <a:cs typeface="+mn-cs"/>
            </a:rPr>
            <a:t>123123	NetW 22lbs	NetW 10.0kg	GrossW 55lbs	GrossW 24.9kg</a:t>
          </a:r>
        </a:p>
        <a:p>
          <a:pPr defTabSz="548640">
            <a:tabLst>
              <a:tab pos="457200" algn="l"/>
              <a:tab pos="1097280" algn="l"/>
              <a:tab pos="1737360" algn="l"/>
              <a:tab pos="2468880" algn="l"/>
            </a:tabLst>
          </a:pPr>
          <a:r>
            <a:rPr lang="en-CA" sz="800" b="1">
              <a:solidFill>
                <a:schemeClr val="dk1"/>
              </a:solidFill>
              <a:effectLst/>
              <a:latin typeface="+mn-lt"/>
              <a:ea typeface="+mn-ea"/>
              <a:cs typeface="+mn-cs"/>
            </a:rPr>
            <a:t>123	NetW 33lbs	NetW 15.0kg	GrossW 66lbs	GrossW 29.9kg</a:t>
          </a:r>
        </a:p>
        <a:p>
          <a:pPr defTabSz="548640">
            <a:tabLst>
              <a:tab pos="457200" algn="l"/>
              <a:tab pos="1097280" algn="l"/>
              <a:tab pos="1737360" algn="l"/>
              <a:tab pos="2468880" algn="l"/>
            </a:tabLst>
          </a:pPr>
          <a:r>
            <a:rPr lang="en-CA" sz="800" b="1">
              <a:solidFill>
                <a:schemeClr val="dk1"/>
              </a:solidFill>
              <a:effectLst/>
              <a:latin typeface="+mn-lt"/>
              <a:ea typeface="+mn-ea"/>
              <a:cs typeface="+mn-cs"/>
            </a:rPr>
            <a:t>TOTAL: 	NetW 66.0lbs	NetW 29.9kg	GrossW 165.0lbs	GrossW 74.8kg</a:t>
          </a:r>
        </a:p>
        <a:p>
          <a:pPr defTabSz="548640">
            <a:tabLst>
              <a:tab pos="457200" algn="l"/>
              <a:tab pos="1097280" algn="l"/>
              <a:tab pos="1737360" algn="l"/>
              <a:tab pos="2468880" algn="l"/>
            </a:tabLst>
          </a:pPr>
          <a:endParaRPr lang="en-CA" sz="800">
            <a:solidFill>
              <a:schemeClr val="dk1"/>
            </a:solidFill>
            <a:effectLst/>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xdr:from>
          <xdr:col>13</xdr:col>
          <xdr:colOff>50800</xdr:colOff>
          <xdr:row>18</xdr:row>
          <xdr:rowOff>139700</xdr:rowOff>
        </xdr:from>
        <xdr:to>
          <xdr:col>16</xdr:col>
          <xdr:colOff>139700</xdr:colOff>
          <xdr:row>20</xdr:row>
          <xdr:rowOff>25400</xdr:rowOff>
        </xdr:to>
        <xdr:sp macro="" textlink="">
          <xdr:nvSpPr>
            <xdr:cNvPr id="1139865" name="Button 6297" hidden="1">
              <a:extLst>
                <a:ext uri="{63B3BB69-23CF-44E3-9099-C40C66FF867C}">
                  <a14:compatExt spid="_x0000_s1139865"/>
                </a:ext>
                <a:ext uri="{FF2B5EF4-FFF2-40B4-BE49-F238E27FC236}">
                  <a16:creationId xmlns:a16="http://schemas.microsoft.com/office/drawing/2014/main" id="{00000000-0008-0000-0200-000099641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200" b="0" i="0" u="none" strike="noStrike" baseline="0">
                  <a:solidFill>
                    <a:srgbClr val="000000"/>
                  </a:solidFill>
                  <a:latin typeface="Calibri" pitchFamily="2" charset="0"/>
                  <a:cs typeface="Calibri" pitchFamily="2" charset="0"/>
                </a:rPr>
                <a:t>Plusieurs Boîtes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177800</xdr:colOff>
          <xdr:row>56</xdr:row>
          <xdr:rowOff>177800</xdr:rowOff>
        </xdr:from>
        <xdr:to>
          <xdr:col>13</xdr:col>
          <xdr:colOff>139700</xdr:colOff>
          <xdr:row>58</xdr:row>
          <xdr:rowOff>12700</xdr:rowOff>
        </xdr:to>
        <xdr:sp macro="" textlink="">
          <xdr:nvSpPr>
            <xdr:cNvPr id="1140338" name="CheckboxTariff2" descr="Detailed Prices" hidden="1">
              <a:extLst>
                <a:ext uri="{63B3BB69-23CF-44E3-9099-C40C66FF867C}">
                  <a14:compatExt spid="_x0000_s1140338"/>
                </a:ext>
                <a:ext uri="{FF2B5EF4-FFF2-40B4-BE49-F238E27FC236}">
                  <a16:creationId xmlns:a16="http://schemas.microsoft.com/office/drawing/2014/main" id="{00000000-0008-0000-0200-000072661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1200" b="0" i="0" u="none" strike="noStrike" baseline="0">
                  <a:solidFill>
                    <a:srgbClr val="000000"/>
                  </a:solidFill>
                  <a:latin typeface="Calibri" pitchFamily="2" charset="0"/>
                  <a:cs typeface="Calibri" pitchFamily="2" charset="0"/>
                </a:rPr>
                <a:t>Tariffs2</a:t>
              </a:r>
            </a:p>
          </xdr:txBody>
        </xdr:sp>
        <xdr:clientData fPrintsWithSheet="0"/>
      </xdr:twoCellAnchor>
    </mc:Choice>
    <mc:Fallback/>
  </mc:AlternateContent>
  <xdr:twoCellAnchor>
    <xdr:from>
      <xdr:col>4</xdr:col>
      <xdr:colOff>0</xdr:colOff>
      <xdr:row>49</xdr:row>
      <xdr:rowOff>91440</xdr:rowOff>
    </xdr:from>
    <xdr:to>
      <xdr:col>15</xdr:col>
      <xdr:colOff>350520</xdr:colOff>
      <xdr:row>55</xdr:row>
      <xdr:rowOff>7620</xdr:rowOff>
    </xdr:to>
    <xdr:sp macro="" textlink="" fLocksText="0">
      <xdr:nvSpPr>
        <xdr:cNvPr id="773925" name="Textbox_Comments_Fr1">
          <a:extLst>
            <a:ext uri="{FF2B5EF4-FFF2-40B4-BE49-F238E27FC236}">
              <a16:creationId xmlns:a16="http://schemas.microsoft.com/office/drawing/2014/main" id="{25AE2F4B-8224-46F7-A402-04D900642657}"/>
            </a:ext>
          </a:extLst>
        </xdr:cNvPr>
        <xdr:cNvSpPr txBox="1"/>
      </xdr:nvSpPr>
      <xdr:spPr>
        <a:xfrm>
          <a:off x="857250" y="6844665"/>
          <a:ext cx="5036820" cy="716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0" i="0" u="none" strike="noStrike">
              <a:solidFill>
                <a:sysClr val="windowText" lastClr="000000"/>
              </a:solidFill>
              <a:effectLst/>
              <a:latin typeface="Calibri"/>
              <a:ea typeface="+mn-ea"/>
              <a:cs typeface="Calibri"/>
            </a:rPr>
            <a:t>Commentaires:</a:t>
          </a:r>
        </a:p>
      </xdr:txBody>
    </xdr:sp>
    <xdr:clientData fLocksWithSheet="0"/>
  </xdr:twoCellAnchor>
  <xdr:twoCellAnchor>
    <xdr:from>
      <xdr:col>23</xdr:col>
      <xdr:colOff>0</xdr:colOff>
      <xdr:row>49</xdr:row>
      <xdr:rowOff>91440</xdr:rowOff>
    </xdr:from>
    <xdr:to>
      <xdr:col>34</xdr:col>
      <xdr:colOff>350520</xdr:colOff>
      <xdr:row>55</xdr:row>
      <xdr:rowOff>7620</xdr:rowOff>
    </xdr:to>
    <xdr:sp macro="" textlink="" fLocksText="0">
      <xdr:nvSpPr>
        <xdr:cNvPr id="773926" name="Textbox_Comments_Fr2">
          <a:extLst>
            <a:ext uri="{FF2B5EF4-FFF2-40B4-BE49-F238E27FC236}">
              <a16:creationId xmlns:a16="http://schemas.microsoft.com/office/drawing/2014/main" id="{D04DB43E-8E77-4F31-B05A-45EE6E2C57E8}"/>
            </a:ext>
          </a:extLst>
        </xdr:cNvPr>
        <xdr:cNvSpPr txBox="1"/>
      </xdr:nvSpPr>
      <xdr:spPr>
        <a:xfrm>
          <a:off x="8153400" y="6844665"/>
          <a:ext cx="5036820" cy="716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0" i="0" u="none" strike="noStrike">
              <a:solidFill>
                <a:sysClr val="windowText" lastClr="000000"/>
              </a:solidFill>
              <a:effectLst/>
              <a:latin typeface="Calibri"/>
              <a:ea typeface="+mn-ea"/>
              <a:cs typeface="Calibri"/>
            </a:rPr>
            <a:t>Commentaires:</a:t>
          </a:r>
        </a:p>
      </xdr:txBody>
    </xdr:sp>
    <xdr:clientData fLocksWithSheet="0"/>
  </xdr:twoCellAnchor>
</xdr:wsDr>
</file>

<file path=xl/drawings/drawing4.xml><?xml version="1.0" encoding="utf-8"?>
<xdr:wsDr xmlns:xdr="http://schemas.openxmlformats.org/drawingml/2006/spreadsheetDrawing" xmlns:a="http://schemas.openxmlformats.org/drawingml/2006/main">
  <xdr:twoCellAnchor>
    <xdr:from>
      <xdr:col>1</xdr:col>
      <xdr:colOff>2381</xdr:colOff>
      <xdr:row>55</xdr:row>
      <xdr:rowOff>22225</xdr:rowOff>
    </xdr:from>
    <xdr:to>
      <xdr:col>14</xdr:col>
      <xdr:colOff>6350</xdr:colOff>
      <xdr:row>57</xdr:row>
      <xdr:rowOff>123825</xdr:rowOff>
    </xdr:to>
    <xdr:sp macro="" textlink="">
      <xdr:nvSpPr>
        <xdr:cNvPr id="438290" name="Textbox_Title1En" hidden="1">
          <a:extLst>
            <a:ext uri="{FF2B5EF4-FFF2-40B4-BE49-F238E27FC236}">
              <a16:creationId xmlns:a16="http://schemas.microsoft.com/office/drawing/2014/main" id="{00000000-0008-0000-0300-000012B00600}"/>
            </a:ext>
          </a:extLst>
        </xdr:cNvPr>
        <xdr:cNvSpPr txBox="1"/>
      </xdr:nvSpPr>
      <xdr:spPr>
        <a:xfrm>
          <a:off x="59531" y="7442200"/>
          <a:ext cx="5280819" cy="368300"/>
        </a:xfrm>
        <a:prstGeom prst="rect">
          <a:avLst/>
        </a:prstGeom>
        <a:solidFill>
          <a:srgbClr val="B4D9FA"/>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tIns="0" rIns="0" bIns="0" rtlCol="0" anchor="t"/>
        <a:lstStyle/>
        <a:p>
          <a:pPr>
            <a:lnSpc>
              <a:spcPts val="1100"/>
            </a:lnSpc>
          </a:pPr>
          <a:r>
            <a:rPr lang="en-CA" sz="850" b="1">
              <a:solidFill>
                <a:srgbClr val="FF0000"/>
              </a:solidFill>
            </a:rPr>
            <a:t>PRICES VALID ONLY FOR OUR SALES TERMS &amp; CONDITIONS </a:t>
          </a:r>
          <a:r>
            <a:rPr lang="en-CA" sz="750" b="0"/>
            <a:t>(see</a:t>
          </a:r>
          <a:r>
            <a:rPr lang="en-CA" sz="750" b="0" baseline="0"/>
            <a:t> next page). </a:t>
          </a:r>
          <a:r>
            <a:rPr kumimoji="0" lang="en-CA" sz="850" b="1" i="0" u="none" strike="noStrike" kern="0" cap="none" spc="0" normalizeH="0" baseline="0" noProof="0">
              <a:ln>
                <a:noFill/>
              </a:ln>
              <a:solidFill>
                <a:srgbClr val="FF0000"/>
              </a:solidFill>
              <a:effectLst/>
              <a:uLnTx/>
              <a:uFillTx/>
              <a:latin typeface="+mn-lt"/>
              <a:ea typeface="+mn-ea"/>
              <a:cs typeface="+mn-cs"/>
            </a:rPr>
            <a:t>INTERNATIONAL ORDERS MUST BE PREPAID </a:t>
          </a:r>
          <a:r>
            <a:rPr lang="en-CA" sz="750" b="0"/>
            <a:t>(Visa, Mastercard or Wire Transfer, see bank information below). Prices are the same for all payment methods.</a:t>
          </a:r>
        </a:p>
        <a:p>
          <a:pPr>
            <a:lnSpc>
              <a:spcPts val="1100"/>
            </a:lnSpc>
          </a:pPr>
          <a:endParaRPr lang="en-CA" sz="850" b="0"/>
        </a:p>
      </xdr:txBody>
    </xdr:sp>
    <xdr:clientData/>
  </xdr:twoCellAnchor>
  <xdr:twoCellAnchor editAs="absolute">
    <xdr:from>
      <xdr:col>0</xdr:col>
      <xdr:colOff>20953</xdr:colOff>
      <xdr:row>2</xdr:row>
      <xdr:rowOff>63211</xdr:rowOff>
    </xdr:from>
    <xdr:to>
      <xdr:col>9</xdr:col>
      <xdr:colOff>428624</xdr:colOff>
      <xdr:row>9</xdr:row>
      <xdr:rowOff>79513</xdr:rowOff>
    </xdr:to>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20953" y="472786"/>
          <a:ext cx="3074671" cy="85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800"/>
            </a:lnSpc>
          </a:pPr>
          <a:r>
            <a:rPr lang="en-CA" sz="1000" b="1" i="0" u="none" strike="noStrike">
              <a:solidFill>
                <a:sysClr val="windowText" lastClr="000000"/>
              </a:solidFill>
              <a:effectLst/>
              <a:latin typeface="+mn-lt"/>
              <a:ea typeface="+mn-ea"/>
              <a:cs typeface="+mn-cs"/>
            </a:rPr>
            <a:t>REGENT INSTRUMENTS INC.</a:t>
          </a:r>
          <a:r>
            <a:rPr lang="en-CA" sz="1000">
              <a:solidFill>
                <a:sysClr val="windowText" lastClr="000000"/>
              </a:solidFill>
            </a:rPr>
            <a:t> </a:t>
          </a:r>
        </a:p>
        <a:p>
          <a:pPr algn="l">
            <a:lnSpc>
              <a:spcPts val="800"/>
            </a:lnSpc>
          </a:pPr>
          <a:r>
            <a:rPr lang="en-CA" sz="900" b="0" i="0" u="none" strike="noStrike">
              <a:solidFill>
                <a:sysClr val="windowText" lastClr="000000"/>
              </a:solidFill>
              <a:effectLst/>
              <a:latin typeface="+mn-lt"/>
              <a:ea typeface="+mn-ea"/>
              <a:cs typeface="+mn-cs"/>
            </a:rPr>
            <a:t>7140, Blvd Wilfrid-Hamel</a:t>
          </a:r>
          <a:r>
            <a:rPr lang="en-CA" sz="900">
              <a:solidFill>
                <a:sysClr val="windowText" lastClr="000000"/>
              </a:solidFill>
            </a:rPr>
            <a:t> </a:t>
          </a:r>
        </a:p>
        <a:p>
          <a:pPr algn="l">
            <a:lnSpc>
              <a:spcPts val="800"/>
            </a:lnSpc>
          </a:pPr>
          <a:r>
            <a:rPr lang="en-CA" sz="900" b="0" i="0" u="none" strike="noStrike">
              <a:solidFill>
                <a:sysClr val="windowText" lastClr="000000"/>
              </a:solidFill>
              <a:effectLst/>
              <a:latin typeface="+mn-lt"/>
              <a:ea typeface="+mn-ea"/>
              <a:cs typeface="+mn-cs"/>
            </a:rPr>
            <a:t>Quebec, QC, G2G 1B5 CANADA</a:t>
          </a:r>
        </a:p>
        <a:p>
          <a:pPr marL="0" marR="0" lvl="0" indent="0" defTabSz="914400" eaLnBrk="1" fontAlgn="auto" latinLnBrk="0" hangingPunct="1">
            <a:lnSpc>
              <a:spcPts val="800"/>
            </a:lnSpc>
            <a:spcBef>
              <a:spcPts val="0"/>
            </a:spcBef>
            <a:spcAft>
              <a:spcPts val="0"/>
            </a:spcAft>
            <a:buClrTx/>
            <a:buSzTx/>
            <a:buFontTx/>
            <a:buNone/>
            <a:tabLst/>
            <a:defRPr/>
          </a:pPr>
          <a:r>
            <a:rPr lang="en-CA" sz="900" b="0" i="0">
              <a:solidFill>
                <a:sysClr val="windowText" lastClr="000000"/>
              </a:solidFill>
              <a:effectLst/>
              <a:latin typeface="+mn-lt"/>
              <a:ea typeface="+mn-ea"/>
              <a:cs typeface="+mn-cs"/>
            </a:rPr>
            <a:t>www.regentinstruments.com</a:t>
          </a:r>
          <a:r>
            <a:rPr kumimoji="0" lang="en-CA" sz="200" b="0" i="0" u="none" strike="noStrike" kern="0" cap="none" spc="0" normalizeH="0" baseline="0" noProof="0">
              <a:ln>
                <a:noFill/>
              </a:ln>
              <a:solidFill>
                <a:prstClr val="white"/>
              </a:solidFill>
              <a:effectLst/>
              <a:uLnTx/>
              <a:uFillTx/>
              <a:latin typeface="+mn-lt"/>
              <a:ea typeface="+mn-ea"/>
              <a:cs typeface="+mn-cs"/>
            </a:rPr>
            <a:t>/?utm_source=PriceQuoteXLS</a:t>
          </a:r>
          <a:endParaRPr kumimoji="0" lang="en-CA" sz="10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ts val="800"/>
            </a:lnSpc>
            <a:spcBef>
              <a:spcPts val="0"/>
            </a:spcBef>
            <a:spcAft>
              <a:spcPts val="0"/>
            </a:spcAft>
            <a:buClrTx/>
            <a:buSzTx/>
            <a:buFontTx/>
            <a:buNone/>
            <a:tabLst/>
            <a:defRPr/>
          </a:pPr>
          <a:r>
            <a:rPr lang="en-CA" sz="900" b="0" i="0" u="none" strike="noStrike">
              <a:solidFill>
                <a:sysClr val="windowText" lastClr="000000"/>
              </a:solidFill>
              <a:effectLst/>
              <a:latin typeface="+mn-lt"/>
              <a:ea typeface="+mn-ea"/>
              <a:cs typeface="+mn-cs"/>
            </a:rPr>
            <a:t>Tel. 418 653-1347    </a:t>
          </a:r>
          <a:r>
            <a:rPr lang="en-CA" sz="900">
              <a:solidFill>
                <a:sysClr val="windowText" lastClr="000000"/>
              </a:solidFill>
            </a:rPr>
            <a:t>  </a:t>
          </a:r>
        </a:p>
        <a:p>
          <a:pPr marL="0" marR="0" lvl="0" indent="0" defTabSz="914400" eaLnBrk="1" fontAlgn="auto" latinLnBrk="0" hangingPunct="1">
            <a:lnSpc>
              <a:spcPts val="800"/>
            </a:lnSpc>
            <a:spcBef>
              <a:spcPts val="0"/>
            </a:spcBef>
            <a:spcAft>
              <a:spcPts val="0"/>
            </a:spcAft>
            <a:buClrTx/>
            <a:buSzTx/>
            <a:buFontTx/>
            <a:buNone/>
            <a:tabLst/>
            <a:defRPr/>
          </a:pPr>
          <a:r>
            <a:rPr kumimoji="0" lang="en-CA" sz="900" b="0" i="0" u="none" strike="noStrike" kern="0" cap="none" spc="0" normalizeH="0" baseline="0" noProof="0">
              <a:ln>
                <a:noFill/>
              </a:ln>
              <a:solidFill>
                <a:sysClr val="windowText" lastClr="000000"/>
              </a:solidFill>
              <a:effectLst/>
              <a:uLnTx/>
              <a:uFillTx/>
              <a:latin typeface="+mn-lt"/>
              <a:ea typeface="+mn-ea"/>
              <a:cs typeface="+mn-cs"/>
            </a:rPr>
            <a:t>Tax ID (GST):  13080 1764 RT0001</a:t>
          </a:r>
          <a:endParaRPr lang="en-CA" sz="900">
            <a:solidFill>
              <a:sysClr val="windowText" lastClr="000000"/>
            </a:solidFill>
          </a:endParaRPr>
        </a:p>
      </xdr:txBody>
    </xdr:sp>
    <xdr:clientData/>
  </xdr:twoCellAnchor>
  <xdr:twoCellAnchor editAs="absolute">
    <xdr:from>
      <xdr:col>2</xdr:col>
      <xdr:colOff>89289</xdr:colOff>
      <xdr:row>0</xdr:row>
      <xdr:rowOff>0</xdr:rowOff>
    </xdr:from>
    <xdr:to>
      <xdr:col>5</xdr:col>
      <xdr:colOff>173192</xdr:colOff>
      <xdr:row>2</xdr:row>
      <xdr:rowOff>81471</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3139" y="0"/>
          <a:ext cx="1131653" cy="491046"/>
        </a:xfrm>
        <a:prstGeom prst="rect">
          <a:avLst/>
        </a:prstGeom>
      </xdr:spPr>
    </xdr:pic>
    <xdr:clientData/>
  </xdr:twoCellAnchor>
  <xdr:twoCellAnchor editAs="absolute">
    <xdr:from>
      <xdr:col>12</xdr:col>
      <xdr:colOff>2550</xdr:colOff>
      <xdr:row>1</xdr:row>
      <xdr:rowOff>1224</xdr:rowOff>
    </xdr:from>
    <xdr:to>
      <xdr:col>18</xdr:col>
      <xdr:colOff>0</xdr:colOff>
      <xdr:row>7</xdr:row>
      <xdr:rowOff>5058</xdr:rowOff>
    </xdr:to>
    <xdr:sp macro="" textlink="">
      <xdr:nvSpPr>
        <xdr:cNvPr id="4" name="Rectangle: Rounded Corners 3">
          <a:extLst>
            <a:ext uri="{FF2B5EF4-FFF2-40B4-BE49-F238E27FC236}">
              <a16:creationId xmlns:a16="http://schemas.microsoft.com/office/drawing/2014/main" id="{00000000-0008-0000-0300-000004000000}"/>
            </a:ext>
          </a:extLst>
        </xdr:cNvPr>
        <xdr:cNvSpPr/>
      </xdr:nvSpPr>
      <xdr:spPr>
        <a:xfrm>
          <a:off x="4650750" y="258399"/>
          <a:ext cx="2588250" cy="918234"/>
        </a:xfrm>
        <a:prstGeom prst="roundRect">
          <a:avLst>
            <a:gd name="adj" fmla="val 2746"/>
          </a:avLst>
        </a:prstGeom>
        <a:noFill/>
        <a:ln w="9525">
          <a:solidFill>
            <a:srgbClr val="1185E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a:p>
        <a:p>
          <a:pPr algn="l"/>
          <a:endParaRPr lang="en-US"/>
        </a:p>
      </xdr:txBody>
    </xdr:sp>
    <xdr:clientData/>
  </xdr:twoCellAnchor>
  <xdr:twoCellAnchor editAs="absolute">
    <xdr:from>
      <xdr:col>21</xdr:col>
      <xdr:colOff>91194</xdr:colOff>
      <xdr:row>0</xdr:row>
      <xdr:rowOff>0</xdr:rowOff>
    </xdr:from>
    <xdr:to>
      <xdr:col>24</xdr:col>
      <xdr:colOff>175097</xdr:colOff>
      <xdr:row>2</xdr:row>
      <xdr:rowOff>81471</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11194" y="0"/>
          <a:ext cx="1131653" cy="491046"/>
        </a:xfrm>
        <a:prstGeom prst="rect">
          <a:avLst/>
        </a:prstGeom>
      </xdr:spPr>
    </xdr:pic>
    <xdr:clientData/>
  </xdr:twoCellAnchor>
  <xdr:twoCellAnchor editAs="absolute">
    <xdr:from>
      <xdr:col>31</xdr:col>
      <xdr:colOff>4455</xdr:colOff>
      <xdr:row>1</xdr:row>
      <xdr:rowOff>1224</xdr:rowOff>
    </xdr:from>
    <xdr:to>
      <xdr:col>37</xdr:col>
      <xdr:colOff>0</xdr:colOff>
      <xdr:row>7</xdr:row>
      <xdr:rowOff>5058</xdr:rowOff>
    </xdr:to>
    <xdr:sp macro="" textlink="">
      <xdr:nvSpPr>
        <xdr:cNvPr id="9" name="Rectangle: Rounded Corners 8">
          <a:extLst>
            <a:ext uri="{FF2B5EF4-FFF2-40B4-BE49-F238E27FC236}">
              <a16:creationId xmlns:a16="http://schemas.microsoft.com/office/drawing/2014/main" id="{00000000-0008-0000-0300-000009000000}"/>
            </a:ext>
          </a:extLst>
        </xdr:cNvPr>
        <xdr:cNvSpPr/>
      </xdr:nvSpPr>
      <xdr:spPr>
        <a:xfrm>
          <a:off x="11948805" y="258399"/>
          <a:ext cx="2586345" cy="918234"/>
        </a:xfrm>
        <a:prstGeom prst="roundRect">
          <a:avLst>
            <a:gd name="adj" fmla="val 2746"/>
          </a:avLst>
        </a:prstGeom>
        <a:noFill/>
        <a:ln w="9525">
          <a:solidFill>
            <a:srgbClr val="1185E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a:p>
        <a:p>
          <a:pPr algn="l"/>
          <a:endParaRPr lang="en-US"/>
        </a:p>
      </xdr:txBody>
    </xdr:sp>
    <xdr:clientData/>
  </xdr:twoCellAnchor>
  <xdr:twoCellAnchor editAs="absolute">
    <xdr:from>
      <xdr:col>19</xdr:col>
      <xdr:colOff>22860</xdr:colOff>
      <xdr:row>2</xdr:row>
      <xdr:rowOff>63211</xdr:rowOff>
    </xdr:from>
    <xdr:to>
      <xdr:col>28</xdr:col>
      <xdr:colOff>671677</xdr:colOff>
      <xdr:row>9</xdr:row>
      <xdr:rowOff>79513</xdr:rowOff>
    </xdr:to>
    <xdr:sp macro="" textlink="">
      <xdr:nvSpPr>
        <xdr:cNvPr id="10" name="TextBox 9">
          <a:extLst>
            <a:ext uri="{FF2B5EF4-FFF2-40B4-BE49-F238E27FC236}">
              <a16:creationId xmlns:a16="http://schemas.microsoft.com/office/drawing/2014/main" id="{00000000-0008-0000-0300-00000A000000}"/>
            </a:ext>
          </a:extLst>
        </xdr:cNvPr>
        <xdr:cNvSpPr txBox="1"/>
      </xdr:nvSpPr>
      <xdr:spPr>
        <a:xfrm>
          <a:off x="7319010" y="472786"/>
          <a:ext cx="3315817" cy="85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800"/>
            </a:lnSpc>
          </a:pPr>
          <a:r>
            <a:rPr lang="en-CA" sz="1000" b="1" i="0" u="none" strike="noStrike">
              <a:solidFill>
                <a:sysClr val="windowText" lastClr="000000"/>
              </a:solidFill>
              <a:effectLst/>
              <a:latin typeface="+mn-lt"/>
              <a:ea typeface="+mn-ea"/>
              <a:cs typeface="+mn-cs"/>
            </a:rPr>
            <a:t>REGENT INSTRUMENTS INC.</a:t>
          </a:r>
          <a:r>
            <a:rPr lang="en-CA" sz="1000">
              <a:solidFill>
                <a:sysClr val="windowText" lastClr="000000"/>
              </a:solidFill>
            </a:rPr>
            <a:t> </a:t>
          </a:r>
        </a:p>
        <a:p>
          <a:pPr algn="l">
            <a:lnSpc>
              <a:spcPts val="800"/>
            </a:lnSpc>
          </a:pPr>
          <a:r>
            <a:rPr lang="en-CA" sz="900" b="0" i="0" u="none" strike="noStrike">
              <a:solidFill>
                <a:sysClr val="windowText" lastClr="000000"/>
              </a:solidFill>
              <a:effectLst/>
              <a:latin typeface="+mn-lt"/>
              <a:ea typeface="+mn-ea"/>
              <a:cs typeface="+mn-cs"/>
            </a:rPr>
            <a:t>7140, Blvd Wilfrid-Hamel</a:t>
          </a:r>
          <a:r>
            <a:rPr lang="en-CA" sz="900">
              <a:solidFill>
                <a:sysClr val="windowText" lastClr="000000"/>
              </a:solidFill>
            </a:rPr>
            <a:t> </a:t>
          </a:r>
        </a:p>
        <a:p>
          <a:pPr algn="l">
            <a:lnSpc>
              <a:spcPts val="800"/>
            </a:lnSpc>
          </a:pPr>
          <a:r>
            <a:rPr lang="en-CA" sz="900" b="0" i="0" u="none" strike="noStrike">
              <a:solidFill>
                <a:sysClr val="windowText" lastClr="000000"/>
              </a:solidFill>
              <a:effectLst/>
              <a:latin typeface="+mn-lt"/>
              <a:ea typeface="+mn-ea"/>
              <a:cs typeface="+mn-cs"/>
            </a:rPr>
            <a:t>Quebec, QC, G2G 1B5 CANADA</a:t>
          </a:r>
        </a:p>
        <a:p>
          <a:pPr marL="0" marR="0" lvl="0" indent="0" defTabSz="914400" eaLnBrk="1" fontAlgn="auto" latinLnBrk="0" hangingPunct="1">
            <a:lnSpc>
              <a:spcPts val="800"/>
            </a:lnSpc>
            <a:spcBef>
              <a:spcPts val="0"/>
            </a:spcBef>
            <a:spcAft>
              <a:spcPts val="0"/>
            </a:spcAft>
            <a:buClrTx/>
            <a:buSzTx/>
            <a:buFontTx/>
            <a:buNone/>
            <a:tabLst/>
            <a:defRPr/>
          </a:pPr>
          <a:r>
            <a:rPr lang="en-CA" sz="900" b="0" i="0">
              <a:solidFill>
                <a:sysClr val="windowText" lastClr="000000"/>
              </a:solidFill>
              <a:effectLst/>
              <a:latin typeface="+mn-lt"/>
              <a:ea typeface="+mn-ea"/>
              <a:cs typeface="+mn-cs"/>
            </a:rPr>
            <a:t>www.regentinstruments.com</a:t>
          </a:r>
          <a:r>
            <a:rPr kumimoji="0" lang="en-CA" sz="200" b="0" i="0" u="none" strike="noStrike" kern="0" cap="none" spc="0" normalizeH="0" baseline="0" noProof="0">
              <a:ln>
                <a:noFill/>
              </a:ln>
              <a:solidFill>
                <a:prstClr val="white"/>
              </a:solidFill>
              <a:effectLst/>
              <a:uLnTx/>
              <a:uFillTx/>
              <a:latin typeface="+mn-lt"/>
              <a:ea typeface="+mn-ea"/>
              <a:cs typeface="+mn-cs"/>
            </a:rPr>
            <a:t>/?utm_source=PriceQuoteXLS</a:t>
          </a:r>
          <a:endParaRPr kumimoji="0" lang="en-CA" sz="10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ts val="800"/>
            </a:lnSpc>
            <a:spcBef>
              <a:spcPts val="0"/>
            </a:spcBef>
            <a:spcAft>
              <a:spcPts val="0"/>
            </a:spcAft>
            <a:buClrTx/>
            <a:buSzTx/>
            <a:buFontTx/>
            <a:buNone/>
            <a:tabLst/>
            <a:defRPr/>
          </a:pPr>
          <a:r>
            <a:rPr lang="en-CA" sz="900" b="0" i="0" u="none" strike="noStrike">
              <a:solidFill>
                <a:sysClr val="windowText" lastClr="000000"/>
              </a:solidFill>
              <a:effectLst/>
              <a:latin typeface="+mn-lt"/>
              <a:ea typeface="+mn-ea"/>
              <a:cs typeface="+mn-cs"/>
            </a:rPr>
            <a:t>Tel. 418 653-1347    </a:t>
          </a:r>
          <a:r>
            <a:rPr lang="en-CA" sz="900">
              <a:solidFill>
                <a:sysClr val="windowText" lastClr="000000"/>
              </a:solidFill>
            </a:rPr>
            <a:t>  </a:t>
          </a:r>
        </a:p>
        <a:p>
          <a:pPr marL="0" marR="0" lvl="0" indent="0" defTabSz="914400" eaLnBrk="1" fontAlgn="auto" latinLnBrk="0" hangingPunct="1">
            <a:lnSpc>
              <a:spcPts val="800"/>
            </a:lnSpc>
            <a:spcBef>
              <a:spcPts val="0"/>
            </a:spcBef>
            <a:spcAft>
              <a:spcPts val="0"/>
            </a:spcAft>
            <a:buClrTx/>
            <a:buSzTx/>
            <a:buFontTx/>
            <a:buNone/>
            <a:tabLst/>
            <a:defRPr/>
          </a:pPr>
          <a:r>
            <a:rPr kumimoji="0" lang="en-CA" sz="900" b="0" i="0" u="none" strike="noStrike" kern="0" cap="none" spc="0" normalizeH="0" baseline="0" noProof="0">
              <a:ln>
                <a:noFill/>
              </a:ln>
              <a:solidFill>
                <a:sysClr val="windowText" lastClr="000000"/>
              </a:solidFill>
              <a:effectLst/>
              <a:uLnTx/>
              <a:uFillTx/>
              <a:latin typeface="+mn-lt"/>
              <a:ea typeface="+mn-ea"/>
              <a:cs typeface="+mn-cs"/>
            </a:rPr>
            <a:t>Tax ID (GST):  13080 1764 RT0001</a:t>
          </a:r>
        </a:p>
      </xdr:txBody>
    </xdr:sp>
    <xdr:clientData/>
  </xdr:twoCellAnchor>
  <xdr:twoCellAnchor>
    <xdr:from>
      <xdr:col>0</xdr:col>
      <xdr:colOff>0</xdr:colOff>
      <xdr:row>56</xdr:row>
      <xdr:rowOff>161858</xdr:rowOff>
    </xdr:from>
    <xdr:to>
      <xdr:col>13</xdr:col>
      <xdr:colOff>79742</xdr:colOff>
      <xdr:row>60</xdr:row>
      <xdr:rowOff>91373</xdr:rowOff>
    </xdr:to>
    <xdr:sp macro="" textlink="">
      <xdr:nvSpPr>
        <xdr:cNvPr id="16" name="Textbox_Comments1Fr">
          <a:extLst>
            <a:ext uri="{FF2B5EF4-FFF2-40B4-BE49-F238E27FC236}">
              <a16:creationId xmlns:a16="http://schemas.microsoft.com/office/drawing/2014/main" id="{00000000-0008-0000-0300-000010000000}"/>
            </a:ext>
          </a:extLst>
        </xdr:cNvPr>
        <xdr:cNvSpPr txBox="1"/>
      </xdr:nvSpPr>
      <xdr:spPr>
        <a:xfrm>
          <a:off x="0" y="7648508"/>
          <a:ext cx="4823192" cy="6629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n-CA" sz="850" b="1">
              <a:solidFill>
                <a:srgbClr val="FF0000"/>
              </a:solidFill>
            </a:rPr>
            <a:t>Les taxes étrangères, TVA, frais de courtage et le dédouanement ne sont pas inclus dans les Frais de Port.  </a:t>
          </a:r>
          <a:r>
            <a:rPr lang="en-CA" sz="850" b="0"/>
            <a:t>La marchandise sera retenue à la douane par le transporteur (Fedex, UPS, DHL...) jusqu'à ce que ces frais lui soient payés par le destinataire (qui sera contacté par le transporteur). S'ils sont payés, ils livreront, sinon ils renverront le(s) colis à l'expéditeur (ou le(s) détruiront).</a:t>
          </a:r>
        </a:p>
      </xdr:txBody>
    </xdr:sp>
    <xdr:clientData/>
  </xdr:twoCellAnchor>
  <xdr:twoCellAnchor>
    <xdr:from>
      <xdr:col>19</xdr:col>
      <xdr:colOff>0</xdr:colOff>
      <xdr:row>56</xdr:row>
      <xdr:rowOff>161858</xdr:rowOff>
    </xdr:from>
    <xdr:to>
      <xdr:col>32</xdr:col>
      <xdr:colOff>79742</xdr:colOff>
      <xdr:row>60</xdr:row>
      <xdr:rowOff>91373</xdr:rowOff>
    </xdr:to>
    <xdr:sp macro="" textlink="">
      <xdr:nvSpPr>
        <xdr:cNvPr id="17" name="Textbox_Comments2Fr">
          <a:extLst>
            <a:ext uri="{FF2B5EF4-FFF2-40B4-BE49-F238E27FC236}">
              <a16:creationId xmlns:a16="http://schemas.microsoft.com/office/drawing/2014/main" id="{00000000-0008-0000-0300-000011000000}"/>
            </a:ext>
          </a:extLst>
        </xdr:cNvPr>
        <xdr:cNvSpPr txBox="1"/>
      </xdr:nvSpPr>
      <xdr:spPr>
        <a:xfrm>
          <a:off x="7296150" y="7648508"/>
          <a:ext cx="4823192" cy="6629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n-CA" sz="850" b="0">
              <a:solidFill>
                <a:srgbClr val="FF0000"/>
              </a:solidFill>
            </a:rPr>
            <a:t>Les taxes étrangères, TVA, frais de courtage et le dédouanement ne sont pas inclus dans les Frais de Port. </a:t>
          </a:r>
          <a:r>
            <a:rPr lang="en-CA" sz="850" b="0"/>
            <a:t> La marchandise sera retenue à la douane par le transporteur (Fedex, UPS, DHL...) jusqu'à ce que ces frais lui soient payés par le destinataire (qui sera contacté par le transporteur). S'ils sont payés, ils livreront, sinon ils renverront le(s) colis à l'expéditeur (ou le(s) détruiront).</a:t>
          </a:r>
        </a:p>
      </xdr:txBody>
    </xdr:sp>
    <xdr:clientData/>
  </xdr:twoCellAnchor>
  <xdr:twoCellAnchor>
    <xdr:from>
      <xdr:col>0</xdr:col>
      <xdr:colOff>529</xdr:colOff>
      <xdr:row>60</xdr:row>
      <xdr:rowOff>152939</xdr:rowOff>
    </xdr:from>
    <xdr:to>
      <xdr:col>15</xdr:col>
      <xdr:colOff>104774</xdr:colOff>
      <xdr:row>62</xdr:row>
      <xdr:rowOff>164018</xdr:rowOff>
    </xdr:to>
    <xdr:sp macro="" textlink="">
      <xdr:nvSpPr>
        <xdr:cNvPr id="18" name="Textbox_Methods1Fr" hidden="1">
          <a:extLst>
            <a:ext uri="{FF2B5EF4-FFF2-40B4-BE49-F238E27FC236}">
              <a16:creationId xmlns:a16="http://schemas.microsoft.com/office/drawing/2014/main" id="{00000000-0008-0000-0300-000012000000}"/>
            </a:ext>
          </a:extLst>
        </xdr:cNvPr>
        <xdr:cNvSpPr txBox="1"/>
      </xdr:nvSpPr>
      <xdr:spPr>
        <a:xfrm>
          <a:off x="529" y="8373014"/>
          <a:ext cx="5647795" cy="411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a:lnSpc>
              <a:spcPts val="900"/>
            </a:lnSpc>
          </a:pPr>
          <a:r>
            <a:rPr lang="en-CA" sz="900" b="0"/>
            <a:t>Nous acceptons les Virements bancaires, MasterCard et Visa.  Chèques acceptés sous certaines conditions seulement.</a:t>
          </a:r>
        </a:p>
        <a:p>
          <a:pPr>
            <a:lnSpc>
              <a:spcPts val="300"/>
            </a:lnSpc>
          </a:pPr>
          <a:endParaRPr lang="en-CA" sz="850" b="1"/>
        </a:p>
        <a:p>
          <a:pPr>
            <a:lnSpc>
              <a:spcPts val="900"/>
            </a:lnSpc>
          </a:pPr>
          <a:r>
            <a:rPr lang="en-CA" sz="850" b="1"/>
            <a:t>Informations pour Virement</a:t>
          </a:r>
          <a:r>
            <a:rPr lang="en-CA" sz="850" b="1" baseline="0"/>
            <a:t> Bancaire</a:t>
          </a:r>
          <a:endParaRPr lang="en-CA" sz="850" b="1"/>
        </a:p>
        <a:p>
          <a:pPr>
            <a:lnSpc>
              <a:spcPts val="900"/>
            </a:lnSpc>
          </a:pPr>
          <a:endParaRPr lang="en-CA" sz="850" b="1"/>
        </a:p>
      </xdr:txBody>
    </xdr:sp>
    <xdr:clientData/>
  </xdr:twoCellAnchor>
  <xdr:twoCellAnchor>
    <xdr:from>
      <xdr:col>18</xdr:col>
      <xdr:colOff>49218</xdr:colOff>
      <xdr:row>60</xdr:row>
      <xdr:rowOff>152939</xdr:rowOff>
    </xdr:from>
    <xdr:to>
      <xdr:col>34</xdr:col>
      <xdr:colOff>238125</xdr:colOff>
      <xdr:row>62</xdr:row>
      <xdr:rowOff>164018</xdr:rowOff>
    </xdr:to>
    <xdr:sp macro="" textlink="">
      <xdr:nvSpPr>
        <xdr:cNvPr id="19" name="Textbox_Methods2Fr" hidden="1">
          <a:extLst>
            <a:ext uri="{FF2B5EF4-FFF2-40B4-BE49-F238E27FC236}">
              <a16:creationId xmlns:a16="http://schemas.microsoft.com/office/drawing/2014/main" id="{00000000-0008-0000-0300-000013000000}"/>
            </a:ext>
          </a:extLst>
        </xdr:cNvPr>
        <xdr:cNvSpPr txBox="1"/>
      </xdr:nvSpPr>
      <xdr:spPr>
        <a:xfrm>
          <a:off x="7288218" y="8373014"/>
          <a:ext cx="5789607" cy="411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a:lnSpc>
              <a:spcPts val="900"/>
            </a:lnSpc>
          </a:pPr>
          <a:r>
            <a:rPr lang="en-CA" sz="900" b="0"/>
            <a:t>Nous acceptons les Virements bancaires, MasterCard et Visa.  Chèques acceptés sous certaines conditions seulement.</a:t>
          </a:r>
        </a:p>
        <a:p>
          <a:pPr>
            <a:lnSpc>
              <a:spcPts val="300"/>
            </a:lnSpc>
          </a:pPr>
          <a:endParaRPr lang="en-CA" sz="850" b="1"/>
        </a:p>
        <a:p>
          <a:pPr>
            <a:lnSpc>
              <a:spcPts val="900"/>
            </a:lnSpc>
          </a:pPr>
          <a:r>
            <a:rPr lang="en-CA" sz="850" b="1"/>
            <a:t>Informations pour Virement</a:t>
          </a:r>
          <a:r>
            <a:rPr lang="en-CA" sz="850" b="1" baseline="0"/>
            <a:t> Bancaire</a:t>
          </a:r>
          <a:endParaRPr lang="en-CA" sz="850" b="1"/>
        </a:p>
        <a:p>
          <a:pPr>
            <a:lnSpc>
              <a:spcPts val="900"/>
            </a:lnSpc>
          </a:pPr>
          <a:endParaRPr lang="en-CA" sz="850" b="1"/>
        </a:p>
      </xdr:txBody>
    </xdr:sp>
    <xdr:clientData/>
  </xdr:twoCellAnchor>
  <xdr:twoCellAnchor>
    <xdr:from>
      <xdr:col>4</xdr:col>
      <xdr:colOff>28633</xdr:colOff>
      <xdr:row>43</xdr:row>
      <xdr:rowOff>31709</xdr:rowOff>
    </xdr:from>
    <xdr:to>
      <xdr:col>15</xdr:col>
      <xdr:colOff>359228</xdr:colOff>
      <xdr:row>48</xdr:row>
      <xdr:rowOff>54428</xdr:rowOff>
    </xdr:to>
    <xdr:sp macro="" textlink="Vars!C213">
      <xdr:nvSpPr>
        <xdr:cNvPr id="20" name="Textbox_Paid" hidden="1">
          <a:extLst>
            <a:ext uri="{FF2B5EF4-FFF2-40B4-BE49-F238E27FC236}">
              <a16:creationId xmlns:a16="http://schemas.microsoft.com/office/drawing/2014/main" id="{00000000-0008-0000-0300-000014000000}"/>
            </a:ext>
          </a:extLst>
        </xdr:cNvPr>
        <xdr:cNvSpPr txBox="1"/>
      </xdr:nvSpPr>
      <xdr:spPr>
        <a:xfrm>
          <a:off x="885883" y="5851484"/>
          <a:ext cx="5016895" cy="689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62CC7DE6-65CF-422B-8D38-3E67C66B17EF}" type="TxLink">
            <a:rPr lang="en-US" sz="1800" b="1" i="0" u="none" strike="noStrike">
              <a:solidFill>
                <a:srgbClr val="FF0000"/>
              </a:solidFill>
              <a:effectLst/>
              <a:latin typeface="Calibri"/>
              <a:ea typeface="+mn-ea"/>
              <a:cs typeface="Calibri"/>
            </a:rPr>
            <a:pPr algn="ctr"/>
            <a:t>PAIEMENT COMPLET REÇU 1900 janvier 0
par      Montant dû: 0</a:t>
          </a:fld>
          <a:endParaRPr lang="en-CA" sz="2800" b="1">
            <a:solidFill>
              <a:srgbClr val="FF0000"/>
            </a:solidFill>
            <a:effectLst/>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16</xdr:col>
          <xdr:colOff>0</xdr:colOff>
          <xdr:row>60</xdr:row>
          <xdr:rowOff>171450</xdr:rowOff>
        </xdr:from>
        <xdr:to>
          <xdr:col>17</xdr:col>
          <xdr:colOff>647700</xdr:colOff>
          <xdr:row>61</xdr:row>
          <xdr:rowOff>161925</xdr:rowOff>
        </xdr:to>
        <xdr:pic>
          <xdr:nvPicPr>
            <xdr:cNvPr id="21" name="Picture 20">
              <a:extLst>
                <a:ext uri="{FF2B5EF4-FFF2-40B4-BE49-F238E27FC236}">
                  <a16:creationId xmlns:a16="http://schemas.microsoft.com/office/drawing/2014/main" id="{00000000-0008-0000-0300-000015000000}"/>
                </a:ext>
              </a:extLst>
            </xdr:cNvPr>
            <xdr:cNvPicPr>
              <a:picLocks noChangeAspect="1" noChangeArrowheads="1"/>
              <a:extLst>
                <a:ext uri="{84589F7E-364E-4C9E-8A38-B11213B215E9}">
                  <a14:cameraTool cellRange="FLAGS_IndexMatch" spid="_x0000_s1498864"/>
                </a:ext>
              </a:extLst>
            </xdr:cNvPicPr>
          </xdr:nvPicPr>
          <xdr:blipFill>
            <a:blip xmlns:r="http://schemas.openxmlformats.org/officeDocument/2006/relationships" r:embed="rId2"/>
            <a:srcRect/>
            <a:stretch>
              <a:fillRect/>
            </a:stretch>
          </xdr:blipFill>
          <xdr:spPr bwMode="auto">
            <a:xfrm>
              <a:off x="5943600" y="8391525"/>
              <a:ext cx="1219200" cy="190500"/>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xdr:twoCellAnchor>
    <xdr:from>
      <xdr:col>0</xdr:col>
      <xdr:colOff>0</xdr:colOff>
      <xdr:row>56</xdr:row>
      <xdr:rowOff>162722</xdr:rowOff>
    </xdr:from>
    <xdr:to>
      <xdr:col>13</xdr:col>
      <xdr:colOff>479534</xdr:colOff>
      <xdr:row>61</xdr:row>
      <xdr:rowOff>58014</xdr:rowOff>
    </xdr:to>
    <xdr:sp macro="" textlink="">
      <xdr:nvSpPr>
        <xdr:cNvPr id="438280" name="Textbox_Comments1Fr" hidden="1">
          <a:extLst>
            <a:ext uri="{FF2B5EF4-FFF2-40B4-BE49-F238E27FC236}">
              <a16:creationId xmlns:a16="http://schemas.microsoft.com/office/drawing/2014/main" id="{00000000-0008-0000-0300-000008B00600}"/>
            </a:ext>
          </a:extLst>
        </xdr:cNvPr>
        <xdr:cNvSpPr txBox="1"/>
      </xdr:nvSpPr>
      <xdr:spPr>
        <a:xfrm>
          <a:off x="0" y="7649372"/>
          <a:ext cx="5222984" cy="8287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endParaRPr lang="en-CA" sz="850" b="1">
            <a:solidFill>
              <a:srgbClr val="FF0000"/>
            </a:solidFill>
          </a:endParaRPr>
        </a:p>
        <a:p>
          <a:pPr>
            <a:lnSpc>
              <a:spcPts val="1100"/>
            </a:lnSpc>
          </a:pPr>
          <a:r>
            <a:rPr lang="en-CA" sz="850" b="1">
              <a:solidFill>
                <a:srgbClr val="FF0000"/>
              </a:solidFill>
            </a:rPr>
            <a:t>NON COMPRIS DANS LES FRAIS DE PORT: </a:t>
          </a:r>
          <a:r>
            <a:rPr lang="en-CA" sz="750" b="1">
              <a:solidFill>
                <a:sysClr val="windowText" lastClr="000000"/>
              </a:solidFill>
            </a:rPr>
            <a:t>taxes locales, TVA, frais de courtage et le dédouanement ou tout autre frais imposé par le pays importateur.  </a:t>
          </a:r>
          <a:r>
            <a:rPr lang="en-CA" sz="750" b="0">
              <a:solidFill>
                <a:sysClr val="windowText" lastClr="000000"/>
              </a:solidFill>
            </a:rPr>
            <a:t>Le</a:t>
          </a:r>
          <a:r>
            <a:rPr lang="en-CA" sz="750" b="0"/>
            <a:t> transporteur (Fedex, UPS, DHL...) retiendra la marchandise à la douane et vous contactera (par téléphone ou courriel) pour vous demander de payer ces frais. S'ils sont payés, ils livrent, sinon ils renvoient la marchandise 				à l'expéditeur ou la détruisent.</a:t>
          </a:r>
          <a:endParaRPr lang="en-CA" sz="850" b="0"/>
        </a:p>
      </xdr:txBody>
    </xdr:sp>
    <xdr:clientData/>
  </xdr:twoCellAnchor>
  <xdr:twoCellAnchor>
    <xdr:from>
      <xdr:col>19</xdr:col>
      <xdr:colOff>0</xdr:colOff>
      <xdr:row>56</xdr:row>
      <xdr:rowOff>162723</xdr:rowOff>
    </xdr:from>
    <xdr:to>
      <xdr:col>32</xdr:col>
      <xdr:colOff>545224</xdr:colOff>
      <xdr:row>61</xdr:row>
      <xdr:rowOff>27708</xdr:rowOff>
    </xdr:to>
    <xdr:sp macro="" textlink="">
      <xdr:nvSpPr>
        <xdr:cNvPr id="438281" name="Textbox_Comments2Fr" hidden="1">
          <a:extLst>
            <a:ext uri="{FF2B5EF4-FFF2-40B4-BE49-F238E27FC236}">
              <a16:creationId xmlns:a16="http://schemas.microsoft.com/office/drawing/2014/main" id="{00000000-0008-0000-0300-000009B00600}"/>
            </a:ext>
          </a:extLst>
        </xdr:cNvPr>
        <xdr:cNvSpPr txBox="1"/>
      </xdr:nvSpPr>
      <xdr:spPr>
        <a:xfrm>
          <a:off x="7296150" y="7649373"/>
          <a:ext cx="5288674" cy="798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endParaRPr kumimoji="0" lang="en-CA" sz="850" b="1" i="0" u="none" strike="noStrike" kern="0" cap="none" spc="0" normalizeH="0" baseline="0" noProof="0">
            <a:ln>
              <a:noFill/>
            </a:ln>
            <a:solidFill>
              <a:srgbClr val="FF0000"/>
            </a:solidFill>
            <a:effectLst/>
            <a:uLnTx/>
            <a:uFillTx/>
            <a:latin typeface="+mn-lt"/>
            <a:ea typeface="+mn-ea"/>
            <a:cs typeface="+mn-cs"/>
          </a:endParaRPr>
        </a:p>
        <a:p>
          <a:pPr>
            <a:lnSpc>
              <a:spcPts val="1100"/>
            </a:lnSpc>
          </a:pPr>
          <a:r>
            <a:rPr kumimoji="0" lang="en-CA" sz="850" b="1" i="0" u="none" strike="noStrike" kern="0" cap="none" spc="0" normalizeH="0" baseline="0" noProof="0">
              <a:ln>
                <a:noFill/>
              </a:ln>
              <a:solidFill>
                <a:srgbClr val="FF0000"/>
              </a:solidFill>
              <a:effectLst/>
              <a:uLnTx/>
              <a:uFillTx/>
              <a:latin typeface="+mn-lt"/>
              <a:ea typeface="+mn-ea"/>
              <a:cs typeface="+mn-cs"/>
            </a:rPr>
            <a:t>NON COMPRIS DANS LES FRAIS DE PORT</a:t>
          </a:r>
          <a:r>
            <a:rPr lang="en-CA" sz="850" b="0">
              <a:solidFill>
                <a:srgbClr val="FF0000"/>
              </a:solidFill>
            </a:rPr>
            <a:t>: </a:t>
          </a:r>
          <a:r>
            <a:rPr lang="en-CA" sz="750" b="1">
              <a:solidFill>
                <a:sysClr val="windowText" lastClr="000000"/>
              </a:solidFill>
            </a:rPr>
            <a:t>taxes locales, TVA, frais de courtage et le dédouanement ou tout autre frais imposé par le pays importateur.</a:t>
          </a:r>
          <a:r>
            <a:rPr lang="en-CA" sz="750" b="0">
              <a:solidFill>
                <a:sysClr val="windowText" lastClr="000000"/>
              </a:solidFill>
            </a:rPr>
            <a:t>  Le </a:t>
          </a:r>
          <a:r>
            <a:rPr lang="en-CA" sz="750" b="0"/>
            <a:t>transporteur (Fedex, UPS, DHL...) retiendra la marchandise à la douane et vous contactera (par téléphone ou courriel) pour vous demander de payer ces frais. S'ils sont payés, ils livrent, sinon ils renvoient la marchandise 				à l'expéditeur ou la détruisent.</a:t>
          </a:r>
        </a:p>
      </xdr:txBody>
    </xdr:sp>
    <xdr:clientData/>
  </xdr:twoCellAnchor>
  <xdr:twoCellAnchor>
    <xdr:from>
      <xdr:col>1</xdr:col>
      <xdr:colOff>4329</xdr:colOff>
      <xdr:row>55</xdr:row>
      <xdr:rowOff>19050</xdr:rowOff>
    </xdr:from>
    <xdr:to>
      <xdr:col>14</xdr:col>
      <xdr:colOff>10679</xdr:colOff>
      <xdr:row>57</xdr:row>
      <xdr:rowOff>171450</xdr:rowOff>
    </xdr:to>
    <xdr:sp macro="" textlink="">
      <xdr:nvSpPr>
        <xdr:cNvPr id="438282" name="Textbox_Title1Fr">
          <a:extLst>
            <a:ext uri="{FF2B5EF4-FFF2-40B4-BE49-F238E27FC236}">
              <a16:creationId xmlns:a16="http://schemas.microsoft.com/office/drawing/2014/main" id="{00000000-0008-0000-0300-00000AB00600}"/>
            </a:ext>
          </a:extLst>
        </xdr:cNvPr>
        <xdr:cNvSpPr txBox="1"/>
      </xdr:nvSpPr>
      <xdr:spPr>
        <a:xfrm>
          <a:off x="61479" y="7439025"/>
          <a:ext cx="5283200" cy="419100"/>
        </a:xfrm>
        <a:prstGeom prst="rect">
          <a:avLst/>
        </a:prstGeom>
        <a:solidFill>
          <a:srgbClr val="B4D9FA"/>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tIns="0" rIns="0" bIns="0" rtlCol="0" anchor="t"/>
        <a:lstStyle/>
        <a:p>
          <a:pPr>
            <a:lnSpc>
              <a:spcPts val="1100"/>
            </a:lnSpc>
          </a:pPr>
          <a:r>
            <a:rPr lang="en-CA" sz="850" b="1">
              <a:solidFill>
                <a:srgbClr val="FF0000"/>
              </a:solidFill>
            </a:rPr>
            <a:t>PRIX VALABLES UNIQUEMENT POUR NOS CONDITIONS DE VENTE </a:t>
          </a:r>
          <a:r>
            <a:rPr kumimoji="0" lang="en-CA" sz="750" b="0" i="0" u="none" strike="noStrike" kern="0" cap="none" spc="0" normalizeH="0" baseline="0" noProof="0">
              <a:ln>
                <a:noFill/>
              </a:ln>
              <a:solidFill>
                <a:prstClr val="black"/>
              </a:solidFill>
              <a:effectLst/>
              <a:uLnTx/>
              <a:uFillTx/>
              <a:latin typeface="+mn-lt"/>
              <a:ea typeface="+mn-ea"/>
              <a:cs typeface="+mn-cs"/>
            </a:rPr>
            <a:t>(voir page suivante).</a:t>
          </a:r>
          <a:r>
            <a:rPr lang="en-CA" sz="850" b="1">
              <a:solidFill>
                <a:srgbClr val="FF0000"/>
              </a:solidFill>
            </a:rPr>
            <a:t> COMMANDES INTERNATIONALES DOIVENT ÊTRE PRÉPAYÉES </a:t>
          </a:r>
          <a:r>
            <a:rPr kumimoji="0" lang="en-CA" sz="750" b="0" i="0" u="none" strike="noStrike" kern="0" cap="none" spc="0" normalizeH="0" baseline="0" noProof="0">
              <a:ln>
                <a:noFill/>
              </a:ln>
              <a:solidFill>
                <a:prstClr val="black"/>
              </a:solidFill>
              <a:effectLst/>
              <a:uLnTx/>
              <a:uFillTx/>
              <a:latin typeface="+mn-lt"/>
              <a:ea typeface="+mn-ea"/>
              <a:cs typeface="+mn-cs"/>
            </a:rPr>
            <a:t>(Visa, Mastercard ou virement bancaire (voir les informations bancaires ci-dessous)). Les prix sont les mêmes pour tous les modes de paiement.</a:t>
          </a:r>
          <a:endParaRPr lang="en-CA" sz="850" b="0"/>
        </a:p>
      </xdr:txBody>
    </xdr:sp>
    <xdr:clientData/>
  </xdr:twoCellAnchor>
  <xdr:twoCellAnchor>
    <xdr:from>
      <xdr:col>20</xdr:col>
      <xdr:colOff>5154</xdr:colOff>
      <xdr:row>55</xdr:row>
      <xdr:rowOff>20189</xdr:rowOff>
    </xdr:from>
    <xdr:to>
      <xdr:col>33</xdr:col>
      <xdr:colOff>11504</xdr:colOff>
      <xdr:row>57</xdr:row>
      <xdr:rowOff>172589</xdr:rowOff>
    </xdr:to>
    <xdr:sp macro="" textlink="">
      <xdr:nvSpPr>
        <xdr:cNvPr id="438283" name="Textbox_Title2Fr">
          <a:extLst>
            <a:ext uri="{FF2B5EF4-FFF2-40B4-BE49-F238E27FC236}">
              <a16:creationId xmlns:a16="http://schemas.microsoft.com/office/drawing/2014/main" id="{00000000-0008-0000-0300-00000BB00600}"/>
            </a:ext>
          </a:extLst>
        </xdr:cNvPr>
        <xdr:cNvSpPr txBox="1"/>
      </xdr:nvSpPr>
      <xdr:spPr>
        <a:xfrm>
          <a:off x="7358454" y="7440164"/>
          <a:ext cx="5283200" cy="419100"/>
        </a:xfrm>
        <a:prstGeom prst="rect">
          <a:avLst/>
        </a:prstGeom>
        <a:solidFill>
          <a:srgbClr val="B4D9FA"/>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tIns="0" rIns="0" bIns="0" rtlCol="0" anchor="t"/>
        <a:lstStyle/>
        <a:p>
          <a:pPr>
            <a:lnSpc>
              <a:spcPts val="1100"/>
            </a:lnSpc>
          </a:pPr>
          <a:r>
            <a:rPr lang="en-CA" sz="850" b="1">
              <a:solidFill>
                <a:srgbClr val="FF0000"/>
              </a:solidFill>
            </a:rPr>
            <a:t>PRIX VALABLES UNIQUEMENT POUR NOS CONDITIONS DE VENTE </a:t>
          </a:r>
          <a:r>
            <a:rPr kumimoji="0" lang="en-CA" sz="750" b="0" i="0" u="none" strike="noStrike" kern="0" cap="none" spc="0" normalizeH="0" baseline="0" noProof="0">
              <a:ln>
                <a:noFill/>
              </a:ln>
              <a:solidFill>
                <a:prstClr val="black"/>
              </a:solidFill>
              <a:effectLst/>
              <a:uLnTx/>
              <a:uFillTx/>
              <a:latin typeface="+mn-lt"/>
              <a:ea typeface="+mn-ea"/>
              <a:cs typeface="+mn-cs"/>
            </a:rPr>
            <a:t>(voir page suivante).</a:t>
          </a:r>
          <a:r>
            <a:rPr lang="en-CA" sz="850" b="1">
              <a:solidFill>
                <a:srgbClr val="FF0000"/>
              </a:solidFill>
            </a:rPr>
            <a:t> COMMANDES INTERNATIONALES DOIVENT ÊTRE PRÉPAYÉES </a:t>
          </a:r>
          <a:r>
            <a:rPr kumimoji="0" lang="en-CA" sz="750" b="0" i="0" u="none" strike="noStrike" kern="0" cap="none" spc="0" normalizeH="0" baseline="0" noProof="0">
              <a:ln>
                <a:noFill/>
              </a:ln>
              <a:solidFill>
                <a:prstClr val="black"/>
              </a:solidFill>
              <a:effectLst/>
              <a:uLnTx/>
              <a:uFillTx/>
              <a:latin typeface="+mn-lt"/>
              <a:ea typeface="+mn-ea"/>
              <a:cs typeface="+mn-cs"/>
            </a:rPr>
            <a:t>(Visa, Mastercard ou virement bancaire (voir les informations bancaires ci-dessous)). Les prix sont les mêmes pour tous les modes de paiement.</a:t>
          </a:r>
          <a:endParaRPr lang="en-CA" sz="850" b="0"/>
        </a:p>
      </xdr:txBody>
    </xdr:sp>
    <xdr:clientData/>
  </xdr:twoCellAnchor>
  <xdr:twoCellAnchor>
    <xdr:from>
      <xdr:col>0</xdr:col>
      <xdr:colOff>0</xdr:colOff>
      <xdr:row>56</xdr:row>
      <xdr:rowOff>104708</xdr:rowOff>
    </xdr:from>
    <xdr:to>
      <xdr:col>13</xdr:col>
      <xdr:colOff>584638</xdr:colOff>
      <xdr:row>60</xdr:row>
      <xdr:rowOff>145983</xdr:rowOff>
    </xdr:to>
    <xdr:sp macro="" textlink="">
      <xdr:nvSpPr>
        <xdr:cNvPr id="438288" name="Textbox_Comments1En" hidden="1">
          <a:extLst>
            <a:ext uri="{FF2B5EF4-FFF2-40B4-BE49-F238E27FC236}">
              <a16:creationId xmlns:a16="http://schemas.microsoft.com/office/drawing/2014/main" id="{00000000-0008-0000-0300-000010B00600}"/>
            </a:ext>
          </a:extLst>
        </xdr:cNvPr>
        <xdr:cNvSpPr txBox="1"/>
      </xdr:nvSpPr>
      <xdr:spPr>
        <a:xfrm>
          <a:off x="0" y="7591358"/>
          <a:ext cx="5328088" cy="774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endParaRPr lang="en-CA" sz="850" b="1">
            <a:solidFill>
              <a:srgbClr val="FF0000"/>
            </a:solidFill>
          </a:endParaRPr>
        </a:p>
        <a:p>
          <a:pPr>
            <a:lnSpc>
              <a:spcPts val="1100"/>
            </a:lnSpc>
          </a:pPr>
          <a:r>
            <a:rPr lang="en-CA" sz="850" b="1">
              <a:solidFill>
                <a:srgbClr val="FF0000"/>
              </a:solidFill>
            </a:rPr>
            <a:t>NOT INCLUDED IN SHIPPING COST: </a:t>
          </a:r>
          <a:r>
            <a:rPr lang="en-CA" sz="750" b="1">
              <a:solidFill>
                <a:sysClr val="windowText" lastClr="000000"/>
              </a:solidFill>
            </a:rPr>
            <a:t>Your Local Taxes, VAT, Duties, Customs Processing Fees or any fees imposed by the importing country.</a:t>
          </a:r>
          <a:r>
            <a:rPr lang="en-CA" sz="750" b="1"/>
            <a:t> </a:t>
          </a:r>
          <a:r>
            <a:rPr lang="en-CA" sz="750" b="0"/>
            <a:t>The courier (Fedex, UPS, DHL...) will hold merchandise at customs and contact you (by phone or email) to pay those fees. If paid, they will deliver, if not, they will return merchandise to sender or destroy it.</a:t>
          </a:r>
        </a:p>
      </xdr:txBody>
    </xdr:sp>
    <xdr:clientData/>
  </xdr:twoCellAnchor>
  <xdr:twoCellAnchor>
    <xdr:from>
      <xdr:col>19</xdr:col>
      <xdr:colOff>0</xdr:colOff>
      <xdr:row>56</xdr:row>
      <xdr:rowOff>104708</xdr:rowOff>
    </xdr:from>
    <xdr:to>
      <xdr:col>32</xdr:col>
      <xdr:colOff>79742</xdr:colOff>
      <xdr:row>60</xdr:row>
      <xdr:rowOff>145983</xdr:rowOff>
    </xdr:to>
    <xdr:sp macro="" textlink="">
      <xdr:nvSpPr>
        <xdr:cNvPr id="438289" name="Textbox_Comments2En" hidden="1">
          <a:extLst>
            <a:ext uri="{FF2B5EF4-FFF2-40B4-BE49-F238E27FC236}">
              <a16:creationId xmlns:a16="http://schemas.microsoft.com/office/drawing/2014/main" id="{00000000-0008-0000-0300-000011B00600}"/>
            </a:ext>
          </a:extLst>
        </xdr:cNvPr>
        <xdr:cNvSpPr txBox="1"/>
      </xdr:nvSpPr>
      <xdr:spPr>
        <a:xfrm>
          <a:off x="7296150" y="7591358"/>
          <a:ext cx="4823192" cy="774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endParaRPr lang="en-CA" sz="850" b="1">
            <a:solidFill>
              <a:srgbClr val="FF0000"/>
            </a:solidFill>
          </a:endParaRPr>
        </a:p>
        <a:p>
          <a:pPr>
            <a:lnSpc>
              <a:spcPts val="1100"/>
            </a:lnSpc>
          </a:pPr>
          <a:r>
            <a:rPr lang="en-CA" sz="850" b="1">
              <a:solidFill>
                <a:srgbClr val="FF0000"/>
              </a:solidFill>
            </a:rPr>
            <a:t>NOT INCLUDED IN SHIPPING COST: </a:t>
          </a:r>
          <a:r>
            <a:rPr lang="en-CA" sz="750" b="1">
              <a:solidFill>
                <a:sysClr val="windowText" lastClr="000000"/>
              </a:solidFill>
            </a:rPr>
            <a:t>Your Local Taxes, VAT, Duties, Customs Processing Fees or any fees imposed by the importing country. </a:t>
          </a:r>
          <a:r>
            <a:rPr lang="en-CA" sz="750" b="0"/>
            <a:t>The courier (Fedex, UPS, DHL...) will hold merchandise at customs and contact you (by phone or email) to pay those fees. If paid, they will deliver, if not, they will return merchandise to sender or destroy it.</a:t>
          </a:r>
        </a:p>
      </xdr:txBody>
    </xdr:sp>
    <xdr:clientData/>
  </xdr:twoCellAnchor>
  <xdr:twoCellAnchor>
    <xdr:from>
      <xdr:col>20</xdr:col>
      <xdr:colOff>4761</xdr:colOff>
      <xdr:row>55</xdr:row>
      <xdr:rowOff>22225</xdr:rowOff>
    </xdr:from>
    <xdr:to>
      <xdr:col>33</xdr:col>
      <xdr:colOff>7142</xdr:colOff>
      <xdr:row>57</xdr:row>
      <xdr:rowOff>123825</xdr:rowOff>
    </xdr:to>
    <xdr:sp macro="" textlink="">
      <xdr:nvSpPr>
        <xdr:cNvPr id="438291" name="Textbox_Title2En" hidden="1">
          <a:extLst>
            <a:ext uri="{FF2B5EF4-FFF2-40B4-BE49-F238E27FC236}">
              <a16:creationId xmlns:a16="http://schemas.microsoft.com/office/drawing/2014/main" id="{00000000-0008-0000-0300-000013B00600}"/>
            </a:ext>
          </a:extLst>
        </xdr:cNvPr>
        <xdr:cNvSpPr txBox="1"/>
      </xdr:nvSpPr>
      <xdr:spPr>
        <a:xfrm>
          <a:off x="7358061" y="7442200"/>
          <a:ext cx="5279231" cy="368300"/>
        </a:xfrm>
        <a:prstGeom prst="rect">
          <a:avLst/>
        </a:prstGeom>
        <a:solidFill>
          <a:srgbClr val="B4D9FA"/>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tIns="0" rIns="0" bIns="0" rtlCol="0" anchor="t"/>
        <a:lstStyle/>
        <a:p>
          <a:pPr>
            <a:lnSpc>
              <a:spcPts val="1100"/>
            </a:lnSpc>
          </a:pPr>
          <a:r>
            <a:rPr lang="en-CA" sz="850" b="1">
              <a:solidFill>
                <a:srgbClr val="FF0000"/>
              </a:solidFill>
            </a:rPr>
            <a:t>PRICES VALID ONLY FOR OUR SALES TERMS &amp; CONDITIONS </a:t>
          </a:r>
          <a:r>
            <a:rPr lang="en-CA" sz="750" b="0"/>
            <a:t>(see</a:t>
          </a:r>
          <a:r>
            <a:rPr lang="en-CA" sz="750" b="0" baseline="0"/>
            <a:t> next page). </a:t>
          </a:r>
          <a:r>
            <a:rPr kumimoji="0" lang="en-CA" sz="850" b="1" i="0" u="none" strike="noStrike" kern="0" cap="none" spc="0" normalizeH="0" baseline="0" noProof="0">
              <a:ln>
                <a:noFill/>
              </a:ln>
              <a:solidFill>
                <a:srgbClr val="FF0000"/>
              </a:solidFill>
              <a:effectLst/>
              <a:uLnTx/>
              <a:uFillTx/>
              <a:latin typeface="+mn-lt"/>
              <a:ea typeface="+mn-ea"/>
              <a:cs typeface="+mn-cs"/>
            </a:rPr>
            <a:t>INTERNATIONAL ORDERS MUST BE PREPAID </a:t>
          </a:r>
          <a:r>
            <a:rPr lang="en-CA" sz="750" b="0"/>
            <a:t>(Visa, Mastercard or Wire Transfer, see bank information below). Prices are the same for all payment methods.</a:t>
          </a:r>
        </a:p>
        <a:p>
          <a:pPr>
            <a:lnSpc>
              <a:spcPts val="1100"/>
            </a:lnSpc>
          </a:pPr>
          <a:endParaRPr lang="en-CA" sz="850" b="0"/>
        </a:p>
      </xdr:txBody>
    </xdr:sp>
    <xdr:clientData/>
  </xdr:twoCellAnchor>
  <xdr:twoCellAnchor>
    <xdr:from>
      <xdr:col>3</xdr:col>
      <xdr:colOff>206152</xdr:colOff>
      <xdr:row>62</xdr:row>
      <xdr:rowOff>29424</xdr:rowOff>
    </xdr:from>
    <xdr:to>
      <xdr:col>6</xdr:col>
      <xdr:colOff>200540</xdr:colOff>
      <xdr:row>63</xdr:row>
      <xdr:rowOff>31805</xdr:rowOff>
    </xdr:to>
    <xdr:sp macro="" textlink="AccountNumber">
      <xdr:nvSpPr>
        <xdr:cNvPr id="2" name="Textbox_AccountNumber1">
          <a:extLst>
            <a:ext uri="{FF2B5EF4-FFF2-40B4-BE49-F238E27FC236}">
              <a16:creationId xmlns:a16="http://schemas.microsoft.com/office/drawing/2014/main" id="{00000000-0008-0000-0300-000002000000}"/>
            </a:ext>
          </a:extLst>
        </xdr:cNvPr>
        <xdr:cNvSpPr txBox="1"/>
      </xdr:nvSpPr>
      <xdr:spPr>
        <a:xfrm>
          <a:off x="796702" y="8649549"/>
          <a:ext cx="1042138" cy="2024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a:lnSpc>
              <a:spcPts val="900"/>
            </a:lnSpc>
          </a:pPr>
          <a:fld id="{05221814-F8BD-4505-BFC9-753E7BC4DF38}" type="TxLink">
            <a:rPr lang="en-US" sz="850" b="0" i="0" u="none" strike="noStrike">
              <a:solidFill>
                <a:srgbClr val="000000"/>
              </a:solidFill>
              <a:latin typeface="Calibri"/>
              <a:cs typeface="Calibri"/>
            </a:rPr>
            <a:pPr>
              <a:lnSpc>
                <a:spcPts val="900"/>
              </a:lnSpc>
            </a:pPr>
            <a:t>49025-7301681</a:t>
          </a:fld>
          <a:endParaRPr lang="en-US" sz="850"/>
        </a:p>
      </xdr:txBody>
    </xdr:sp>
    <xdr:clientData/>
  </xdr:twoCellAnchor>
  <xdr:twoCellAnchor>
    <xdr:from>
      <xdr:col>0</xdr:col>
      <xdr:colOff>0</xdr:colOff>
      <xdr:row>61</xdr:row>
      <xdr:rowOff>2955</xdr:rowOff>
    </xdr:from>
    <xdr:to>
      <xdr:col>15</xdr:col>
      <xdr:colOff>7620</xdr:colOff>
      <xdr:row>66</xdr:row>
      <xdr:rowOff>7620</xdr:rowOff>
    </xdr:to>
    <xdr:sp macro="" textlink="">
      <xdr:nvSpPr>
        <xdr:cNvPr id="11" name="Textbox_BankInfo1En" hidden="1">
          <a:extLst>
            <a:ext uri="{FF2B5EF4-FFF2-40B4-BE49-F238E27FC236}">
              <a16:creationId xmlns:a16="http://schemas.microsoft.com/office/drawing/2014/main" id="{00000000-0008-0000-0300-00000B000000}"/>
            </a:ext>
          </a:extLst>
        </xdr:cNvPr>
        <xdr:cNvSpPr txBox="1"/>
      </xdr:nvSpPr>
      <xdr:spPr>
        <a:xfrm>
          <a:off x="0" y="8453535"/>
          <a:ext cx="5516880" cy="827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marL="0" marR="0" lvl="0" indent="0" defTabSz="914400" eaLnBrk="1" fontAlgn="auto" latinLnBrk="0" hangingPunct="1">
            <a:lnSpc>
              <a:spcPts val="900"/>
            </a:lnSpc>
            <a:spcBef>
              <a:spcPts val="0"/>
            </a:spcBef>
            <a:spcAft>
              <a:spcPts val="0"/>
            </a:spcAft>
            <a:buClrTx/>
            <a:buSzTx/>
            <a:buFontTx/>
            <a:buNone/>
            <a:tabLst/>
            <a:defRPr/>
          </a:pPr>
          <a:r>
            <a:rPr kumimoji="0" lang="en-US" sz="850" b="0" i="0" u="none" strike="noStrike" kern="0" cap="none" spc="0" normalizeH="0" baseline="0" noProof="0">
              <a:ln>
                <a:noFill/>
              </a:ln>
              <a:solidFill>
                <a:prstClr val="black"/>
              </a:solidFill>
              <a:effectLst/>
              <a:uLnTx/>
              <a:uFillTx/>
              <a:latin typeface="+mn-lt"/>
              <a:ea typeface="+mn-ea"/>
              <a:cs typeface="+mn-cs"/>
            </a:rPr>
            <a:t>TD Canada Trust, </a:t>
          </a:r>
          <a:r>
            <a:rPr lang="en-US" sz="850" b="0" i="0" baseline="0">
              <a:solidFill>
                <a:schemeClr val="dk1"/>
              </a:solidFill>
              <a:effectLst/>
              <a:latin typeface="+mn-lt"/>
              <a:ea typeface="+mn-ea"/>
              <a:cs typeface="+mn-cs"/>
            </a:rPr>
            <a:t>3400 Chemin Quatre-Bourgeois, Quebec, QC, G1W 2L3, CANADA</a:t>
          </a:r>
          <a:r>
            <a:rPr kumimoji="0" lang="en-US" sz="850" b="0" i="0" u="none" strike="noStrike" kern="0" cap="none" spc="0" normalizeH="0" baseline="0" noProof="0">
              <a:ln>
                <a:noFill/>
              </a:ln>
              <a:solidFill>
                <a:prstClr val="black"/>
              </a:solidFill>
              <a:effectLst/>
              <a:uLnTx/>
              <a:uFillTx/>
              <a:latin typeface="+mn-lt"/>
              <a:ea typeface="+mn-ea"/>
              <a:cs typeface="+mn-cs"/>
            </a:rPr>
            <a:t>
</a:t>
          </a:r>
          <a:r>
            <a:rPr lang="en-US" sz="850" b="0" i="1" baseline="0">
              <a:solidFill>
                <a:schemeClr val="dk1"/>
              </a:solidFill>
              <a:effectLst/>
              <a:latin typeface="+mn-lt"/>
              <a:ea typeface="+mn-ea"/>
              <a:cs typeface="+mn-cs"/>
            </a:rPr>
            <a:t>Swift code →</a:t>
          </a:r>
          <a:r>
            <a:rPr lang="en-US" sz="850" b="0" i="0" baseline="0">
              <a:solidFill>
                <a:schemeClr val="dk1"/>
              </a:solidFill>
              <a:effectLst/>
              <a:latin typeface="+mn-lt"/>
              <a:ea typeface="+mn-ea"/>
              <a:cs typeface="+mn-cs"/>
            </a:rPr>
            <a:t> TDOMCATTTOR           </a:t>
          </a:r>
          <a:r>
            <a:rPr lang="en-US" sz="850" b="0" i="1" baseline="0">
              <a:solidFill>
                <a:schemeClr val="dk1"/>
              </a:solidFill>
              <a:effectLst/>
              <a:latin typeface="+mn-lt"/>
              <a:ea typeface="+mn-ea"/>
              <a:cs typeface="+mn-cs"/>
            </a:rPr>
            <a:t>Beneficiary →</a:t>
          </a:r>
          <a:r>
            <a:rPr lang="en-US" sz="850" b="0" i="0" baseline="0">
              <a:solidFill>
                <a:schemeClr val="dk1"/>
              </a:solidFill>
              <a:effectLst/>
              <a:latin typeface="+mn-lt"/>
              <a:ea typeface="+mn-ea"/>
              <a:cs typeface="+mn-cs"/>
            </a:rPr>
            <a:t> Regent Instruments Inc.</a:t>
          </a:r>
          <a:endParaRPr kumimoji="0" lang="en-US" sz="85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en-US" sz="850" b="0" i="0" u="none" strike="noStrike" kern="0" cap="none" spc="0" normalizeH="0" baseline="0" noProof="0">
              <a:ln>
                <a:noFill/>
              </a:ln>
              <a:solidFill>
                <a:prstClr val="black"/>
              </a:solidFill>
              <a:effectLst/>
              <a:uLnTx/>
              <a:uFillTx/>
              <a:latin typeface="+mn-lt"/>
              <a:ea typeface="+mn-ea"/>
              <a:cs typeface="+mn-cs"/>
            </a:rPr>
            <a:t>    004              </a:t>
          </a:r>
        </a:p>
        <a:p>
          <a:pPr marL="0" marR="0" lvl="0" indent="0" defTabSz="914400" eaLnBrk="1" fontAlgn="auto" latinLnBrk="0" hangingPunct="1">
            <a:lnSpc>
              <a:spcPts val="900"/>
            </a:lnSpc>
            <a:spcBef>
              <a:spcPts val="0"/>
            </a:spcBef>
            <a:spcAft>
              <a:spcPts val="0"/>
            </a:spcAft>
            <a:buClrTx/>
            <a:buSzTx/>
            <a:buFontTx/>
            <a:buNone/>
            <a:tabLst/>
            <a:defRPr/>
          </a:pPr>
          <a:r>
            <a:rPr kumimoji="0" lang="en-US" sz="850" b="0" i="1" u="none" strike="noStrike" kern="0" cap="none" spc="0" normalizeH="0" baseline="0" noProof="0">
              <a:ln>
                <a:noFill/>
              </a:ln>
              <a:solidFill>
                <a:prstClr val="black"/>
              </a:solidFill>
              <a:effectLst/>
              <a:uLnTx/>
              <a:uFillTx/>
              <a:latin typeface="+mn-lt"/>
              <a:ea typeface="+mn-ea"/>
              <a:cs typeface="+mn-cs"/>
            </a:rPr>
            <a:t>     ↑                          ↑             ↑ </a:t>
          </a:r>
        </a:p>
        <a:p>
          <a:pPr marL="0" marR="0" lvl="0" indent="0" defTabSz="914400" eaLnBrk="1" fontAlgn="auto" latinLnBrk="0" hangingPunct="1">
            <a:lnSpc>
              <a:spcPts val="900"/>
            </a:lnSpc>
            <a:spcBef>
              <a:spcPts val="0"/>
            </a:spcBef>
            <a:spcAft>
              <a:spcPts val="0"/>
            </a:spcAft>
            <a:buClrTx/>
            <a:buSzTx/>
            <a:buFontTx/>
            <a:buNone/>
            <a:tabLst/>
            <a:defRPr/>
          </a:pPr>
          <a:r>
            <a:rPr kumimoji="0" lang="en-US" sz="850" b="0" i="1" u="none" strike="noStrike" kern="0" cap="none" spc="0" normalizeH="0" baseline="0" noProof="0">
              <a:ln>
                <a:noFill/>
              </a:ln>
              <a:solidFill>
                <a:prstClr val="black"/>
              </a:solidFill>
              <a:effectLst/>
              <a:uLnTx/>
              <a:uFillTx/>
              <a:latin typeface="+mn-lt"/>
              <a:ea typeface="+mn-ea"/>
              <a:cs typeface="+mn-cs"/>
            </a:rPr>
            <a:t>Financial               Transit#   Account#	</a:t>
          </a:r>
          <a:r>
            <a:rPr kumimoji="0" lang="en-US" sz="850" b="0" i="1" u="none" strike="noStrike" kern="0" cap="none" spc="0" normalizeH="0" baseline="0" noProof="0">
              <a:ln>
                <a:noFill/>
              </a:ln>
              <a:solidFill>
                <a:schemeClr val="tx1">
                  <a:lumMod val="65000"/>
                  <a:lumOff val="35000"/>
                </a:schemeClr>
              </a:solidFill>
              <a:effectLst/>
              <a:uLnTx/>
              <a:uFillTx/>
              <a:latin typeface="+mn-lt"/>
              <a:ea typeface="+mn-ea"/>
              <a:cs typeface="+mn-cs"/>
            </a:rPr>
            <a:t> </a:t>
          </a:r>
        </a:p>
        <a:p>
          <a:pPr marL="0" marR="0" lvl="0" indent="0" defTabSz="914400" eaLnBrk="1" fontAlgn="auto" latinLnBrk="0" hangingPunct="1">
            <a:lnSpc>
              <a:spcPts val="900"/>
            </a:lnSpc>
            <a:spcBef>
              <a:spcPts val="0"/>
            </a:spcBef>
            <a:spcAft>
              <a:spcPts val="0"/>
            </a:spcAft>
            <a:buClrTx/>
            <a:buSzTx/>
            <a:buFontTx/>
            <a:buNone/>
            <a:tabLst/>
            <a:defRPr/>
          </a:pPr>
          <a:r>
            <a:rPr kumimoji="0" lang="en-US" sz="850" b="0" i="1" u="none" strike="noStrike" kern="0" cap="none" spc="0" normalizeH="0" baseline="0" noProof="0">
              <a:ln>
                <a:noFill/>
              </a:ln>
              <a:solidFill>
                <a:prstClr val="black"/>
              </a:solidFill>
              <a:effectLst/>
              <a:uLnTx/>
              <a:uFillTx/>
              <a:latin typeface="+mn-lt"/>
              <a:ea typeface="+mn-ea"/>
              <a:cs typeface="+mn-cs"/>
            </a:rPr>
            <a:t>institution#          (branch)	</a:t>
          </a:r>
          <a:endParaRPr kumimoji="0" lang="en-US" sz="850" b="0" i="1" u="none" strike="noStrike" kern="0" cap="none" spc="0" normalizeH="0" baseline="0" noProof="0">
            <a:ln>
              <a:noFill/>
            </a:ln>
            <a:solidFill>
              <a:schemeClr val="tx1">
                <a:lumMod val="65000"/>
                <a:lumOff val="35000"/>
              </a:schemeClr>
            </a:solidFill>
            <a:effectLst/>
            <a:uLnTx/>
            <a:uFillTx/>
            <a:latin typeface="+mn-lt"/>
            <a:ea typeface="+mn-ea"/>
            <a:cs typeface="+mn-cs"/>
          </a:endParaRPr>
        </a:p>
      </xdr:txBody>
    </xdr:sp>
    <xdr:clientData/>
  </xdr:twoCellAnchor>
  <xdr:twoCellAnchor>
    <xdr:from>
      <xdr:col>0</xdr:col>
      <xdr:colOff>0</xdr:colOff>
      <xdr:row>61</xdr:row>
      <xdr:rowOff>0</xdr:rowOff>
    </xdr:from>
    <xdr:to>
      <xdr:col>15</xdr:col>
      <xdr:colOff>12016</xdr:colOff>
      <xdr:row>64</xdr:row>
      <xdr:rowOff>81700</xdr:rowOff>
    </xdr:to>
    <xdr:sp macro="" textlink="">
      <xdr:nvSpPr>
        <xdr:cNvPr id="12" name="Textbox_BankInfo1Fr">
          <a:extLst>
            <a:ext uri="{FF2B5EF4-FFF2-40B4-BE49-F238E27FC236}">
              <a16:creationId xmlns:a16="http://schemas.microsoft.com/office/drawing/2014/main" id="{00000000-0008-0000-0300-00000C000000}"/>
            </a:ext>
          </a:extLst>
        </xdr:cNvPr>
        <xdr:cNvSpPr txBox="1"/>
      </xdr:nvSpPr>
      <xdr:spPr>
        <a:xfrm>
          <a:off x="0" y="8420100"/>
          <a:ext cx="5555566" cy="681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eaLnBrk="1" fontAlgn="auto" latinLnBrk="0" hangingPunct="1">
            <a:lnSpc>
              <a:spcPts val="900"/>
            </a:lnSpc>
          </a:pPr>
          <a:r>
            <a:rPr lang="en-US" sz="850" b="0" i="0" baseline="0">
              <a:solidFill>
                <a:schemeClr val="dk1"/>
              </a:solidFill>
              <a:effectLst/>
              <a:latin typeface="+mn-lt"/>
              <a:ea typeface="+mn-ea"/>
              <a:cs typeface="+mn-cs"/>
            </a:rPr>
            <a:t>TD Canada Trust, 3400 Chemin Quatre-Bourgeois, Quebec, QC, G1W 2L3, CANADA</a:t>
          </a:r>
          <a:br>
            <a:rPr lang="en-US" sz="850" b="0" i="0" baseline="0">
              <a:solidFill>
                <a:schemeClr val="dk1"/>
              </a:solidFill>
              <a:effectLst/>
              <a:latin typeface="+mn-lt"/>
              <a:ea typeface="+mn-ea"/>
              <a:cs typeface="+mn-cs"/>
            </a:rPr>
          </a:br>
          <a:r>
            <a:rPr lang="en-US" sz="850" b="0" i="1" baseline="0">
              <a:solidFill>
                <a:schemeClr val="dk1"/>
              </a:solidFill>
              <a:effectLst/>
              <a:latin typeface="+mn-lt"/>
              <a:ea typeface="+mn-ea"/>
              <a:cs typeface="+mn-cs"/>
            </a:rPr>
            <a:t>Code Swift →</a:t>
          </a:r>
          <a:r>
            <a:rPr lang="en-US" sz="850" b="0" i="0" baseline="0">
              <a:solidFill>
                <a:schemeClr val="dk1"/>
              </a:solidFill>
              <a:effectLst/>
              <a:latin typeface="+mn-lt"/>
              <a:ea typeface="+mn-ea"/>
              <a:cs typeface="+mn-cs"/>
            </a:rPr>
            <a:t> TDOMCATTTOR           </a:t>
          </a:r>
          <a:r>
            <a:rPr lang="en-US" sz="850" b="0" i="1" baseline="0">
              <a:solidFill>
                <a:schemeClr val="dk1"/>
              </a:solidFill>
              <a:effectLst/>
              <a:latin typeface="+mn-lt"/>
              <a:ea typeface="+mn-ea"/>
              <a:cs typeface="+mn-cs"/>
            </a:rPr>
            <a:t>Bénéficiaire →</a:t>
          </a:r>
          <a:r>
            <a:rPr lang="en-US" sz="850" b="0" i="0" baseline="0">
              <a:solidFill>
                <a:schemeClr val="dk1"/>
              </a:solidFill>
              <a:effectLst/>
              <a:latin typeface="+mn-lt"/>
              <a:ea typeface="+mn-ea"/>
              <a:cs typeface="+mn-cs"/>
            </a:rPr>
            <a:t> Regent Instruments Inc.</a:t>
          </a:r>
          <a:endParaRPr lang="en-CA" sz="850">
            <a:effectLst/>
          </a:endParaRPr>
        </a:p>
        <a:p>
          <a:pPr eaLnBrk="1" fontAlgn="auto" latinLnBrk="0" hangingPunct="1">
            <a:lnSpc>
              <a:spcPts val="900"/>
            </a:lnSpc>
          </a:pPr>
          <a:r>
            <a:rPr lang="en-US" sz="850" b="0" i="0" baseline="0">
              <a:solidFill>
                <a:schemeClr val="dk1"/>
              </a:solidFill>
              <a:effectLst/>
              <a:latin typeface="+mn-lt"/>
              <a:ea typeface="+mn-ea"/>
              <a:cs typeface="+mn-cs"/>
            </a:rPr>
            <a:t>    004              </a:t>
          </a:r>
          <a:endParaRPr lang="en-CA" sz="850">
            <a:effectLst/>
          </a:endParaRPr>
        </a:p>
        <a:p>
          <a:pPr eaLnBrk="1" fontAlgn="auto" latinLnBrk="0" hangingPunct="1">
            <a:lnSpc>
              <a:spcPts val="900"/>
            </a:lnSpc>
          </a:pPr>
          <a:r>
            <a:rPr lang="en-US" sz="850" b="0" i="1" baseline="0">
              <a:solidFill>
                <a:schemeClr val="dk1"/>
              </a:solidFill>
              <a:effectLst/>
              <a:latin typeface="+mn-lt"/>
              <a:ea typeface="+mn-ea"/>
              <a:cs typeface="+mn-cs"/>
            </a:rPr>
            <a:t>Institution             Transit    Compte</a:t>
          </a:r>
          <a:endParaRPr lang="en-CA" sz="850">
            <a:effectLst/>
          </a:endParaRPr>
        </a:p>
        <a:p>
          <a:pPr eaLnBrk="1" fontAlgn="auto" latinLnBrk="0" hangingPunct="1">
            <a:lnSpc>
              <a:spcPts val="900"/>
            </a:lnSpc>
          </a:pPr>
          <a:r>
            <a:rPr lang="en-US" sz="850" b="0" i="1" baseline="0">
              <a:solidFill>
                <a:schemeClr val="dk1"/>
              </a:solidFill>
              <a:effectLst/>
              <a:latin typeface="+mn-lt"/>
              <a:ea typeface="+mn-ea"/>
              <a:cs typeface="+mn-cs"/>
            </a:rPr>
            <a:t>financière         (succursale)</a:t>
          </a:r>
          <a:endParaRPr lang="en-CA" sz="850">
            <a:effectLst/>
          </a:endParaRPr>
        </a:p>
      </xdr:txBody>
    </xdr:sp>
    <xdr:clientData/>
  </xdr:twoCellAnchor>
  <xdr:twoCellAnchor>
    <xdr:from>
      <xdr:col>22</xdr:col>
      <xdr:colOff>205132</xdr:colOff>
      <xdr:row>62</xdr:row>
      <xdr:rowOff>29424</xdr:rowOff>
    </xdr:from>
    <xdr:to>
      <xdr:col>25</xdr:col>
      <xdr:colOff>195607</xdr:colOff>
      <xdr:row>63</xdr:row>
      <xdr:rowOff>29424</xdr:rowOff>
    </xdr:to>
    <xdr:sp macro="" textlink="AccountNumber">
      <xdr:nvSpPr>
        <xdr:cNvPr id="13" name="Textbox_AccountNumber2">
          <a:extLst>
            <a:ext uri="{FF2B5EF4-FFF2-40B4-BE49-F238E27FC236}">
              <a16:creationId xmlns:a16="http://schemas.microsoft.com/office/drawing/2014/main" id="{00000000-0008-0000-0300-00000D000000}"/>
            </a:ext>
          </a:extLst>
        </xdr:cNvPr>
        <xdr:cNvSpPr txBox="1"/>
      </xdr:nvSpPr>
      <xdr:spPr>
        <a:xfrm>
          <a:off x="8091832" y="8649549"/>
          <a:ext cx="10382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a:lnSpc>
              <a:spcPts val="900"/>
            </a:lnSpc>
          </a:pPr>
          <a:fld id="{05221814-F8BD-4505-BFC9-753E7BC4DF38}" type="TxLink">
            <a:rPr lang="en-US" sz="850" b="0" i="0" u="none" strike="noStrike">
              <a:solidFill>
                <a:srgbClr val="000000"/>
              </a:solidFill>
              <a:latin typeface="Calibri"/>
              <a:cs typeface="Calibri"/>
            </a:rPr>
            <a:pPr>
              <a:lnSpc>
                <a:spcPts val="900"/>
              </a:lnSpc>
            </a:pPr>
            <a:t>49025-7301681</a:t>
          </a:fld>
          <a:endParaRPr lang="en-US" sz="850"/>
        </a:p>
      </xdr:txBody>
    </xdr:sp>
    <xdr:clientData/>
  </xdr:twoCellAnchor>
  <xdr:twoCellAnchor>
    <xdr:from>
      <xdr:col>19</xdr:col>
      <xdr:colOff>1786</xdr:colOff>
      <xdr:row>61</xdr:row>
      <xdr:rowOff>2955</xdr:rowOff>
    </xdr:from>
    <xdr:to>
      <xdr:col>34</xdr:col>
      <xdr:colOff>7270</xdr:colOff>
      <xdr:row>66</xdr:row>
      <xdr:rowOff>0</xdr:rowOff>
    </xdr:to>
    <xdr:sp macro="" textlink="">
      <xdr:nvSpPr>
        <xdr:cNvPr id="14" name="Textbox_BankInfo2En" hidden="1">
          <a:extLst>
            <a:ext uri="{FF2B5EF4-FFF2-40B4-BE49-F238E27FC236}">
              <a16:creationId xmlns:a16="http://schemas.microsoft.com/office/drawing/2014/main" id="{00000000-0008-0000-0300-00000E000000}"/>
            </a:ext>
          </a:extLst>
        </xdr:cNvPr>
        <xdr:cNvSpPr txBox="1"/>
      </xdr:nvSpPr>
      <xdr:spPr>
        <a:xfrm>
          <a:off x="7256026" y="8453535"/>
          <a:ext cx="5514744" cy="8200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eaLnBrk="1" fontAlgn="auto" latinLnBrk="0" hangingPunct="1">
            <a:lnSpc>
              <a:spcPts val="900"/>
            </a:lnSpc>
          </a:pPr>
          <a:r>
            <a:rPr lang="en-US" sz="850" b="0" i="0" baseline="0">
              <a:solidFill>
                <a:schemeClr val="dk1"/>
              </a:solidFill>
              <a:effectLst/>
              <a:latin typeface="+mn-lt"/>
              <a:ea typeface="+mn-ea"/>
              <a:cs typeface="+mn-cs"/>
            </a:rPr>
            <a:t>TD Canada Trust, 3400 Chemin Quatre-Bourgeois, Quebec, QC, G1W 2L3, CANADA</a:t>
          </a:r>
          <a:br>
            <a:rPr lang="en-US" sz="850" b="0" i="0" baseline="0">
              <a:solidFill>
                <a:schemeClr val="dk1"/>
              </a:solidFill>
              <a:effectLst/>
              <a:latin typeface="+mn-lt"/>
              <a:ea typeface="+mn-ea"/>
              <a:cs typeface="+mn-cs"/>
            </a:rPr>
          </a:br>
          <a:r>
            <a:rPr lang="en-US" sz="850" b="0" i="1" baseline="0">
              <a:solidFill>
                <a:schemeClr val="dk1"/>
              </a:solidFill>
              <a:effectLst/>
              <a:latin typeface="+mn-lt"/>
              <a:ea typeface="+mn-ea"/>
              <a:cs typeface="+mn-cs"/>
            </a:rPr>
            <a:t>Swift code →</a:t>
          </a:r>
          <a:r>
            <a:rPr lang="en-US" sz="850" b="0" i="0" baseline="0">
              <a:solidFill>
                <a:schemeClr val="dk1"/>
              </a:solidFill>
              <a:effectLst/>
              <a:latin typeface="+mn-lt"/>
              <a:ea typeface="+mn-ea"/>
              <a:cs typeface="+mn-cs"/>
            </a:rPr>
            <a:t> TDOMCATTTOR           </a:t>
          </a:r>
          <a:r>
            <a:rPr lang="en-US" sz="850" b="0" i="1" baseline="0">
              <a:solidFill>
                <a:schemeClr val="dk1"/>
              </a:solidFill>
              <a:effectLst/>
              <a:latin typeface="+mn-lt"/>
              <a:ea typeface="+mn-ea"/>
              <a:cs typeface="+mn-cs"/>
            </a:rPr>
            <a:t>Beneficiary →</a:t>
          </a:r>
          <a:r>
            <a:rPr lang="en-US" sz="850" b="0" i="0" baseline="0">
              <a:solidFill>
                <a:schemeClr val="dk1"/>
              </a:solidFill>
              <a:effectLst/>
              <a:latin typeface="+mn-lt"/>
              <a:ea typeface="+mn-ea"/>
              <a:cs typeface="+mn-cs"/>
            </a:rPr>
            <a:t> Regent Instruments Inc.</a:t>
          </a:r>
          <a:endParaRPr lang="en-CA" sz="850">
            <a:effectLst/>
          </a:endParaRPr>
        </a:p>
        <a:p>
          <a:pPr eaLnBrk="1" fontAlgn="auto" latinLnBrk="0" hangingPunct="1">
            <a:lnSpc>
              <a:spcPts val="900"/>
            </a:lnSpc>
          </a:pPr>
          <a:r>
            <a:rPr lang="en-US" sz="850" b="0" i="0" baseline="0">
              <a:solidFill>
                <a:schemeClr val="dk1"/>
              </a:solidFill>
              <a:effectLst/>
              <a:latin typeface="+mn-lt"/>
              <a:ea typeface="+mn-ea"/>
              <a:cs typeface="+mn-cs"/>
            </a:rPr>
            <a:t>    004              </a:t>
          </a:r>
          <a:endParaRPr lang="en-CA" sz="850">
            <a:effectLst/>
          </a:endParaRPr>
        </a:p>
        <a:p>
          <a:pPr eaLnBrk="1" fontAlgn="auto" latinLnBrk="0" hangingPunct="1">
            <a:lnSpc>
              <a:spcPts val="900"/>
            </a:lnSpc>
          </a:pPr>
          <a:r>
            <a:rPr lang="en-US" sz="850" b="0" i="1" baseline="0">
              <a:solidFill>
                <a:schemeClr val="dk1"/>
              </a:solidFill>
              <a:effectLst/>
              <a:latin typeface="+mn-lt"/>
              <a:ea typeface="+mn-ea"/>
              <a:cs typeface="+mn-cs"/>
            </a:rPr>
            <a:t>     ↑                          ↑             ↑ </a:t>
          </a:r>
        </a:p>
        <a:p>
          <a:pPr eaLnBrk="1" fontAlgn="auto" latinLnBrk="0" hangingPunct="1">
            <a:lnSpc>
              <a:spcPts val="900"/>
            </a:lnSpc>
          </a:pPr>
          <a:r>
            <a:rPr lang="en-US" sz="850" b="0" i="1" baseline="0">
              <a:solidFill>
                <a:schemeClr val="dk1"/>
              </a:solidFill>
              <a:effectLst/>
              <a:latin typeface="+mn-lt"/>
              <a:ea typeface="+mn-ea"/>
              <a:cs typeface="+mn-cs"/>
            </a:rPr>
            <a:t>Financial               Transit#   Account#	</a:t>
          </a:r>
          <a:r>
            <a:rPr lang="en-US" sz="850" b="0" i="1" baseline="0">
              <a:solidFill>
                <a:schemeClr val="tx1">
                  <a:lumMod val="65000"/>
                  <a:lumOff val="35000"/>
                </a:schemeClr>
              </a:solidFill>
              <a:effectLst/>
              <a:latin typeface="+mn-lt"/>
              <a:ea typeface="+mn-ea"/>
              <a:cs typeface="+mn-cs"/>
            </a:rPr>
            <a:t> </a:t>
          </a:r>
        </a:p>
        <a:p>
          <a:pPr eaLnBrk="1" fontAlgn="auto" latinLnBrk="0" hangingPunct="1">
            <a:lnSpc>
              <a:spcPts val="900"/>
            </a:lnSpc>
          </a:pPr>
          <a:r>
            <a:rPr lang="en-US" sz="850" b="0" i="1" baseline="0">
              <a:solidFill>
                <a:schemeClr val="dk1"/>
              </a:solidFill>
              <a:effectLst/>
              <a:latin typeface="+mn-lt"/>
              <a:ea typeface="+mn-ea"/>
              <a:cs typeface="+mn-cs"/>
            </a:rPr>
            <a:t>institution#          (branch)	</a:t>
          </a:r>
          <a:endParaRPr lang="en-US" sz="850" b="0" i="1" baseline="0">
            <a:solidFill>
              <a:schemeClr val="tx1">
                <a:lumMod val="65000"/>
                <a:lumOff val="35000"/>
              </a:schemeClr>
            </a:solidFill>
            <a:effectLst/>
            <a:latin typeface="+mn-lt"/>
            <a:ea typeface="+mn-ea"/>
            <a:cs typeface="+mn-cs"/>
          </a:endParaRPr>
        </a:p>
      </xdr:txBody>
    </xdr:sp>
    <xdr:clientData/>
  </xdr:twoCellAnchor>
  <xdr:twoCellAnchor>
    <xdr:from>
      <xdr:col>19</xdr:col>
      <xdr:colOff>697</xdr:colOff>
      <xdr:row>61</xdr:row>
      <xdr:rowOff>0</xdr:rowOff>
    </xdr:from>
    <xdr:to>
      <xdr:col>34</xdr:col>
      <xdr:colOff>12713</xdr:colOff>
      <xdr:row>64</xdr:row>
      <xdr:rowOff>81700</xdr:rowOff>
    </xdr:to>
    <xdr:sp macro="" textlink="">
      <xdr:nvSpPr>
        <xdr:cNvPr id="15" name="Textbox_BankInfo2Fr">
          <a:extLst>
            <a:ext uri="{FF2B5EF4-FFF2-40B4-BE49-F238E27FC236}">
              <a16:creationId xmlns:a16="http://schemas.microsoft.com/office/drawing/2014/main" id="{00000000-0008-0000-0300-00000F000000}"/>
            </a:ext>
          </a:extLst>
        </xdr:cNvPr>
        <xdr:cNvSpPr txBox="1"/>
      </xdr:nvSpPr>
      <xdr:spPr>
        <a:xfrm>
          <a:off x="7296847" y="8420100"/>
          <a:ext cx="5555566" cy="681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eaLnBrk="1" fontAlgn="auto" latinLnBrk="0" hangingPunct="1">
            <a:lnSpc>
              <a:spcPts val="900"/>
            </a:lnSpc>
          </a:pPr>
          <a:r>
            <a:rPr lang="en-US" sz="850" b="0" i="0" baseline="0">
              <a:solidFill>
                <a:schemeClr val="dk1"/>
              </a:solidFill>
              <a:effectLst/>
              <a:latin typeface="+mn-lt"/>
              <a:ea typeface="+mn-ea"/>
              <a:cs typeface="+mn-cs"/>
            </a:rPr>
            <a:t>TD Canada Trust, 3400 Chemin Quatre-Bourgeois, Quebec, QC, G1W 2L3, CANADA</a:t>
          </a:r>
          <a:br>
            <a:rPr lang="en-US" sz="850" b="0" i="0" baseline="0">
              <a:solidFill>
                <a:schemeClr val="dk1"/>
              </a:solidFill>
              <a:effectLst/>
              <a:latin typeface="+mn-lt"/>
              <a:ea typeface="+mn-ea"/>
              <a:cs typeface="+mn-cs"/>
            </a:rPr>
          </a:br>
          <a:r>
            <a:rPr lang="en-US" sz="850" b="0" i="1" baseline="0">
              <a:solidFill>
                <a:schemeClr val="dk1"/>
              </a:solidFill>
              <a:effectLst/>
              <a:latin typeface="+mn-lt"/>
              <a:ea typeface="+mn-ea"/>
              <a:cs typeface="+mn-cs"/>
            </a:rPr>
            <a:t>Code Swift →</a:t>
          </a:r>
          <a:r>
            <a:rPr lang="en-US" sz="850" b="0" i="0" baseline="0">
              <a:solidFill>
                <a:schemeClr val="dk1"/>
              </a:solidFill>
              <a:effectLst/>
              <a:latin typeface="+mn-lt"/>
              <a:ea typeface="+mn-ea"/>
              <a:cs typeface="+mn-cs"/>
            </a:rPr>
            <a:t> TDOMCATTTOR           </a:t>
          </a:r>
          <a:r>
            <a:rPr lang="en-US" sz="850" b="0" i="1" baseline="0">
              <a:solidFill>
                <a:schemeClr val="dk1"/>
              </a:solidFill>
              <a:effectLst/>
              <a:latin typeface="+mn-lt"/>
              <a:ea typeface="+mn-ea"/>
              <a:cs typeface="+mn-cs"/>
            </a:rPr>
            <a:t>Bénéficiaire →</a:t>
          </a:r>
          <a:r>
            <a:rPr lang="en-US" sz="850" b="0" i="0" baseline="0">
              <a:solidFill>
                <a:schemeClr val="dk1"/>
              </a:solidFill>
              <a:effectLst/>
              <a:latin typeface="+mn-lt"/>
              <a:ea typeface="+mn-ea"/>
              <a:cs typeface="+mn-cs"/>
            </a:rPr>
            <a:t> Regent Instruments Inc.</a:t>
          </a:r>
          <a:endParaRPr lang="en-CA" sz="850">
            <a:effectLst/>
          </a:endParaRPr>
        </a:p>
        <a:p>
          <a:pPr eaLnBrk="1" fontAlgn="auto" latinLnBrk="0" hangingPunct="1">
            <a:lnSpc>
              <a:spcPts val="900"/>
            </a:lnSpc>
          </a:pPr>
          <a:r>
            <a:rPr lang="en-US" sz="850" b="0" i="0" baseline="0">
              <a:solidFill>
                <a:schemeClr val="dk1"/>
              </a:solidFill>
              <a:effectLst/>
              <a:latin typeface="+mn-lt"/>
              <a:ea typeface="+mn-ea"/>
              <a:cs typeface="+mn-cs"/>
            </a:rPr>
            <a:t>    004              </a:t>
          </a:r>
          <a:endParaRPr lang="en-CA" sz="850">
            <a:effectLst/>
          </a:endParaRPr>
        </a:p>
        <a:p>
          <a:pPr eaLnBrk="1" fontAlgn="auto" latinLnBrk="0" hangingPunct="1">
            <a:lnSpc>
              <a:spcPts val="900"/>
            </a:lnSpc>
          </a:pPr>
          <a:r>
            <a:rPr lang="en-US" sz="850" b="0" i="1" baseline="0">
              <a:solidFill>
                <a:schemeClr val="dk1"/>
              </a:solidFill>
              <a:effectLst/>
              <a:latin typeface="+mn-lt"/>
              <a:ea typeface="+mn-ea"/>
              <a:cs typeface="+mn-cs"/>
            </a:rPr>
            <a:t>Institution             Transit    Compte</a:t>
          </a:r>
          <a:endParaRPr lang="en-CA" sz="850">
            <a:effectLst/>
          </a:endParaRPr>
        </a:p>
        <a:p>
          <a:pPr eaLnBrk="1" fontAlgn="auto" latinLnBrk="0" hangingPunct="1">
            <a:lnSpc>
              <a:spcPts val="900"/>
            </a:lnSpc>
          </a:pPr>
          <a:r>
            <a:rPr lang="en-US" sz="850" b="0" i="1" baseline="0">
              <a:solidFill>
                <a:schemeClr val="dk1"/>
              </a:solidFill>
              <a:effectLst/>
              <a:latin typeface="+mn-lt"/>
              <a:ea typeface="+mn-ea"/>
              <a:cs typeface="+mn-cs"/>
            </a:rPr>
            <a:t>financière         (succursale)</a:t>
          </a:r>
          <a:endParaRPr lang="en-CA" sz="850">
            <a:effectLst/>
          </a:endParaRPr>
        </a:p>
        <a:p>
          <a:pPr>
            <a:lnSpc>
              <a:spcPts val="900"/>
            </a:lnSpc>
          </a:pPr>
          <a:endParaRPr lang="en-US" sz="850"/>
        </a:p>
      </xdr:txBody>
    </xdr:sp>
    <xdr:clientData/>
  </xdr:twoCellAnchor>
  <xdr:twoCellAnchor>
    <xdr:from>
      <xdr:col>4</xdr:col>
      <xdr:colOff>0</xdr:colOff>
      <xdr:row>40</xdr:row>
      <xdr:rowOff>85725</xdr:rowOff>
    </xdr:from>
    <xdr:to>
      <xdr:col>16</xdr:col>
      <xdr:colOff>0</xdr:colOff>
      <xdr:row>62</xdr:row>
      <xdr:rowOff>112395</xdr:rowOff>
    </xdr:to>
    <xdr:sp macro="" textlink="" fLocksText="0">
      <xdr:nvSpPr>
        <xdr:cNvPr id="6" name="Textbox_Comments">
          <a:extLst>
            <a:ext uri="{FF2B5EF4-FFF2-40B4-BE49-F238E27FC236}">
              <a16:creationId xmlns:a16="http://schemas.microsoft.com/office/drawing/2014/main" id="{00000000-0008-0000-0300-000006000000}"/>
            </a:ext>
          </a:extLst>
        </xdr:cNvPr>
        <xdr:cNvSpPr txBox="1"/>
      </xdr:nvSpPr>
      <xdr:spPr>
        <a:xfrm>
          <a:off x="857250" y="5505450"/>
          <a:ext cx="5086350" cy="322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0" i="0" u="none" strike="noStrike" baseline="0">
              <a:solidFill>
                <a:sysClr val="windowText" lastClr="000000"/>
              </a:solidFill>
              <a:effectLst/>
              <a:latin typeface="Calibri"/>
              <a:ea typeface="+mn-ea"/>
              <a:cs typeface="Calibri"/>
            </a:rPr>
            <a:t>Ship date:</a:t>
          </a:r>
        </a:p>
        <a:p>
          <a:pPr algn="l"/>
          <a:r>
            <a:rPr lang="en-US" sz="1000" b="0" i="0" u="none" strike="noStrike" baseline="0">
              <a:solidFill>
                <a:sysClr val="windowText" lastClr="000000"/>
              </a:solidFill>
              <a:effectLst/>
              <a:latin typeface="Calibri"/>
              <a:ea typeface="+mn-ea"/>
              <a:cs typeface="Calibri"/>
            </a:rPr>
            <a:t>Purpose of shipment: Commercial Sale</a:t>
          </a:r>
        </a:p>
        <a:p>
          <a:pPr algn="l"/>
          <a:r>
            <a:rPr lang="en-US" sz="1000" b="0" i="0" u="none" strike="noStrike" baseline="0">
              <a:solidFill>
                <a:sysClr val="windowText" lastClr="000000"/>
              </a:solidFill>
              <a:effectLst/>
              <a:latin typeface="Calibri"/>
              <a:ea typeface="+mn-ea"/>
              <a:cs typeface="Calibri"/>
            </a:rPr>
            <a:t>The exporter is the same as the manufacturer of goods.</a:t>
          </a:r>
        </a:p>
        <a:p>
          <a:pPr algn="l"/>
          <a:r>
            <a:rPr lang="en-US" sz="1000" b="0" i="0" u="none" strike="noStrike" baseline="0">
              <a:solidFill>
                <a:sysClr val="windowText" lastClr="000000"/>
              </a:solidFill>
              <a:effectLst/>
              <a:latin typeface="Calibri"/>
              <a:ea typeface="+mn-ea"/>
              <a:cs typeface="Calibri"/>
            </a:rPr>
            <a:t>The importer is the same as consignee.</a:t>
          </a:r>
        </a:p>
        <a:p>
          <a:pPr algn="l"/>
          <a:r>
            <a:rPr lang="en-US" sz="1000" b="0" i="0" u="none" strike="noStrike" baseline="0">
              <a:solidFill>
                <a:sysClr val="windowText" lastClr="000000"/>
              </a:solidFill>
              <a:effectLst/>
              <a:latin typeface="Calibri"/>
              <a:ea typeface="+mn-ea"/>
              <a:cs typeface="Calibri"/>
            </a:rPr>
            <a:t>Parties to this transaction are Non-Related.</a:t>
          </a:r>
        </a:p>
        <a:p>
          <a:pPr algn="l"/>
          <a:r>
            <a:rPr lang="en-US" sz="1000" b="0" i="0" u="none" strike="noStrike" baseline="0">
              <a:solidFill>
                <a:sysClr val="windowText" lastClr="000000"/>
              </a:solidFill>
              <a:effectLst/>
              <a:latin typeface="Calibri"/>
              <a:ea typeface="+mn-ea"/>
              <a:cs typeface="Calibri"/>
            </a:rPr>
            <a:t>Goods are made in Canada.</a:t>
          </a:r>
        </a:p>
        <a:p>
          <a:pPr algn="l"/>
          <a:endParaRPr lang="en-US" sz="1000" b="0" i="0" u="none" strike="noStrike" baseline="0">
            <a:solidFill>
              <a:sysClr val="windowText" lastClr="000000"/>
            </a:solidFill>
            <a:effectLst/>
            <a:latin typeface="Calibri"/>
            <a:ea typeface="+mn-ea"/>
            <a:cs typeface="Calibri"/>
          </a:endParaRPr>
        </a:p>
        <a:p>
          <a:pPr algn="l"/>
          <a:endParaRPr lang="en-US" sz="1000" b="0" i="0" u="none" strike="noStrike" baseline="0">
            <a:solidFill>
              <a:sysClr val="windowText" lastClr="000000"/>
            </a:solidFill>
            <a:effectLst/>
            <a:latin typeface="Calibri"/>
            <a:ea typeface="+mn-ea"/>
            <a:cs typeface="Calibri"/>
          </a:endParaRPr>
        </a:p>
        <a:p>
          <a:pPr algn="l"/>
          <a:r>
            <a:rPr lang="en-US" sz="1000" b="0" i="0" u="none" strike="noStrike" baseline="0">
              <a:solidFill>
                <a:sysClr val="windowText" lastClr="000000"/>
              </a:solidFill>
              <a:effectLst/>
              <a:latin typeface="Calibri"/>
              <a:ea typeface="+mn-ea"/>
              <a:cs typeface="Calibri"/>
            </a:rPr>
            <a:t>Signed by: Nicolas Lachance</a:t>
          </a:r>
        </a:p>
        <a:p>
          <a:pPr algn="l"/>
          <a:r>
            <a:rPr lang="en-US" sz="1000" b="0" i="0" u="none" strike="noStrike" baseline="0">
              <a:solidFill>
                <a:sysClr val="windowText" lastClr="000000"/>
              </a:solidFill>
              <a:effectLst/>
              <a:latin typeface="Calibri"/>
              <a:ea typeface="+mn-ea"/>
              <a:cs typeface="Calibri"/>
            </a:rPr>
            <a:t>                    Sales representative</a:t>
          </a:r>
        </a:p>
        <a:p>
          <a:pPr algn="l"/>
          <a:endParaRPr lang="en-US" sz="1000" b="0" i="0" u="none" strike="noStrike" baseline="0">
            <a:solidFill>
              <a:sysClr val="windowText" lastClr="000000"/>
            </a:solidFill>
            <a:effectLst/>
            <a:latin typeface="+mn-lt"/>
            <a:ea typeface="+mn-ea"/>
            <a:cs typeface="Calibri"/>
          </a:endParaRPr>
        </a:p>
      </xdr:txBody>
    </xdr:sp>
    <xdr:clientData fLocksWithSheet="0"/>
  </xdr:twoCellAnchor>
  <xdr:twoCellAnchor editAs="oneCell">
    <xdr:from>
      <xdr:col>9</xdr:col>
      <xdr:colOff>12700</xdr:colOff>
      <xdr:row>49</xdr:row>
      <xdr:rowOff>3175</xdr:rowOff>
    </xdr:from>
    <xdr:to>
      <xdr:col>13</xdr:col>
      <xdr:colOff>393700</xdr:colOff>
      <xdr:row>54</xdr:row>
      <xdr:rowOff>123825</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a:stretch>
          <a:fillRect/>
        </a:stretch>
      </xdr:blipFill>
      <xdr:spPr>
        <a:xfrm>
          <a:off x="2679700" y="6623050"/>
          <a:ext cx="2457450" cy="787400"/>
        </a:xfrm>
        <a:prstGeom prst="rect">
          <a:avLst/>
        </a:prstGeom>
      </xdr:spPr>
    </xdr:pic>
    <xdr:clientData/>
  </xdr:twoCellAnchor>
  <mc:AlternateContent xmlns:mc="http://schemas.openxmlformats.org/markup-compatibility/2006">
    <mc:Choice xmlns:a14="http://schemas.microsoft.com/office/drawing/2010/main" Requires="a14">
      <xdr:twoCellAnchor>
        <xdr:from>
          <xdr:col>15</xdr:col>
          <xdr:colOff>63500</xdr:colOff>
          <xdr:row>1</xdr:row>
          <xdr:rowOff>25400</xdr:rowOff>
        </xdr:from>
        <xdr:to>
          <xdr:col>16</xdr:col>
          <xdr:colOff>0</xdr:colOff>
          <xdr:row>2</xdr:row>
          <xdr:rowOff>25400</xdr:rowOff>
        </xdr:to>
        <xdr:sp macro="" textlink="">
          <xdr:nvSpPr>
            <xdr:cNvPr id="923532" name="INV_ButtonGet" hidden="1">
              <a:extLst>
                <a:ext uri="{63B3BB69-23CF-44E3-9099-C40C66FF867C}">
                  <a14:compatExt spid="_x0000_s923532"/>
                </a:ext>
                <a:ext uri="{FF2B5EF4-FFF2-40B4-BE49-F238E27FC236}">
                  <a16:creationId xmlns:a16="http://schemas.microsoft.com/office/drawing/2014/main" id="{00000000-0008-0000-0300-00008C170E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200" b="0" i="0" u="none" strike="noStrike" baseline="0">
                  <a:solidFill>
                    <a:srgbClr val="000000"/>
                  </a:solidFill>
                  <a:latin typeface="Calibri" pitchFamily="2" charset="0"/>
                  <a:cs typeface="Calibri" pitchFamily="2" charset="0"/>
                </a:rPr>
                <a:t>Get</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editAs="absolute">
    <xdr:from>
      <xdr:col>2</xdr:col>
      <xdr:colOff>87384</xdr:colOff>
      <xdr:row>0</xdr:row>
      <xdr:rowOff>0</xdr:rowOff>
    </xdr:from>
    <xdr:to>
      <xdr:col>5</xdr:col>
      <xdr:colOff>171287</xdr:colOff>
      <xdr:row>2</xdr:row>
      <xdr:rowOff>81471</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1234" y="0"/>
          <a:ext cx="1131653" cy="491046"/>
        </a:xfrm>
        <a:prstGeom prst="rect">
          <a:avLst/>
        </a:prstGeom>
      </xdr:spPr>
    </xdr:pic>
    <xdr:clientData/>
  </xdr:twoCellAnchor>
  <xdr:twoCellAnchor editAs="absolute">
    <xdr:from>
      <xdr:col>12</xdr:col>
      <xdr:colOff>644</xdr:colOff>
      <xdr:row>1</xdr:row>
      <xdr:rowOff>1224</xdr:rowOff>
    </xdr:from>
    <xdr:to>
      <xdr:col>18</xdr:col>
      <xdr:colOff>1313</xdr:colOff>
      <xdr:row>7</xdr:row>
      <xdr:rowOff>5058</xdr:rowOff>
    </xdr:to>
    <xdr:sp macro="" textlink="">
      <xdr:nvSpPr>
        <xdr:cNvPr id="3" name="Rectangle: Rounded Corners 2">
          <a:extLst>
            <a:ext uri="{FF2B5EF4-FFF2-40B4-BE49-F238E27FC236}">
              <a16:creationId xmlns:a16="http://schemas.microsoft.com/office/drawing/2014/main" id="{00000000-0008-0000-0400-000003000000}"/>
            </a:ext>
          </a:extLst>
        </xdr:cNvPr>
        <xdr:cNvSpPr/>
      </xdr:nvSpPr>
      <xdr:spPr>
        <a:xfrm>
          <a:off x="4648844" y="258399"/>
          <a:ext cx="2590155" cy="918234"/>
        </a:xfrm>
        <a:prstGeom prst="roundRect">
          <a:avLst>
            <a:gd name="adj" fmla="val 2746"/>
          </a:avLst>
        </a:prstGeom>
        <a:noFill/>
        <a:ln w="9525">
          <a:solidFill>
            <a:srgbClr val="1185E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a:p>
        <a:p>
          <a:pPr algn="l"/>
          <a:endParaRPr lang="en-US"/>
        </a:p>
      </xdr:txBody>
    </xdr:sp>
    <xdr:clientData/>
  </xdr:twoCellAnchor>
  <xdr:twoCellAnchor editAs="absolute">
    <xdr:from>
      <xdr:col>0</xdr:col>
      <xdr:colOff>19050</xdr:colOff>
      <xdr:row>2</xdr:row>
      <xdr:rowOff>63211</xdr:rowOff>
    </xdr:from>
    <xdr:to>
      <xdr:col>7</xdr:col>
      <xdr:colOff>0</xdr:colOff>
      <xdr:row>9</xdr:row>
      <xdr:rowOff>79513</xdr:rowOff>
    </xdr:to>
    <xdr:sp macro="" textlink="">
      <xdr:nvSpPr>
        <xdr:cNvPr id="4" name="TextBox 3">
          <a:extLst>
            <a:ext uri="{FF2B5EF4-FFF2-40B4-BE49-F238E27FC236}">
              <a16:creationId xmlns:a16="http://schemas.microsoft.com/office/drawing/2014/main" id="{00000000-0008-0000-0400-000004000000}"/>
            </a:ext>
          </a:extLst>
        </xdr:cNvPr>
        <xdr:cNvSpPr txBox="1"/>
      </xdr:nvSpPr>
      <xdr:spPr>
        <a:xfrm>
          <a:off x="19050" y="472786"/>
          <a:ext cx="2286000" cy="85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800"/>
            </a:lnSpc>
          </a:pPr>
          <a:r>
            <a:rPr lang="en-CA" sz="1000" b="1" i="0" u="none" strike="noStrike">
              <a:solidFill>
                <a:sysClr val="windowText" lastClr="000000"/>
              </a:solidFill>
              <a:effectLst/>
              <a:latin typeface="+mn-lt"/>
              <a:ea typeface="+mn-ea"/>
              <a:cs typeface="+mn-cs"/>
            </a:rPr>
            <a:t>REGENT INSTRUMENTS INC.</a:t>
          </a:r>
          <a:r>
            <a:rPr lang="en-CA" sz="1000">
              <a:solidFill>
                <a:sysClr val="windowText" lastClr="000000"/>
              </a:solidFill>
            </a:rPr>
            <a:t> </a:t>
          </a:r>
        </a:p>
        <a:p>
          <a:pPr algn="l">
            <a:lnSpc>
              <a:spcPts val="800"/>
            </a:lnSpc>
          </a:pPr>
          <a:r>
            <a:rPr lang="en-CA" sz="900" b="0" i="0" u="none" strike="noStrike">
              <a:solidFill>
                <a:sysClr val="windowText" lastClr="000000"/>
              </a:solidFill>
              <a:effectLst/>
              <a:latin typeface="+mn-lt"/>
              <a:ea typeface="+mn-ea"/>
              <a:cs typeface="+mn-cs"/>
            </a:rPr>
            <a:t>7140, Blvd Wilfrid-Hamel</a:t>
          </a:r>
          <a:r>
            <a:rPr lang="en-CA" sz="900">
              <a:solidFill>
                <a:sysClr val="windowText" lastClr="000000"/>
              </a:solidFill>
            </a:rPr>
            <a:t> </a:t>
          </a:r>
        </a:p>
        <a:p>
          <a:pPr algn="l">
            <a:lnSpc>
              <a:spcPts val="800"/>
            </a:lnSpc>
          </a:pPr>
          <a:r>
            <a:rPr lang="en-CA" sz="900" b="0" i="0" u="none" strike="noStrike">
              <a:solidFill>
                <a:sysClr val="windowText" lastClr="000000"/>
              </a:solidFill>
              <a:effectLst/>
              <a:latin typeface="+mn-lt"/>
              <a:ea typeface="+mn-ea"/>
              <a:cs typeface="+mn-cs"/>
            </a:rPr>
            <a:t>Quebec, QC, G2G 1B5 CANADA</a:t>
          </a:r>
        </a:p>
        <a:p>
          <a:pPr marL="0" marR="0" lvl="0" indent="0" defTabSz="914400" eaLnBrk="1" fontAlgn="auto" latinLnBrk="0" hangingPunct="1">
            <a:lnSpc>
              <a:spcPts val="800"/>
            </a:lnSpc>
            <a:spcBef>
              <a:spcPts val="0"/>
            </a:spcBef>
            <a:spcAft>
              <a:spcPts val="0"/>
            </a:spcAft>
            <a:buClrTx/>
            <a:buSzTx/>
            <a:buFontTx/>
            <a:buNone/>
            <a:tabLst/>
            <a:defRPr/>
          </a:pPr>
          <a:r>
            <a:rPr lang="en-CA" sz="900" b="0" i="0">
              <a:solidFill>
                <a:sysClr val="windowText" lastClr="000000"/>
              </a:solidFill>
              <a:effectLst/>
              <a:latin typeface="+mn-lt"/>
              <a:ea typeface="+mn-ea"/>
              <a:cs typeface="+mn-cs"/>
            </a:rPr>
            <a:t>www.regentinstruments.com</a:t>
          </a:r>
          <a:r>
            <a:rPr kumimoji="0" lang="en-CA" sz="200" b="0" i="0" u="none" strike="noStrike" kern="0" cap="none" spc="0" normalizeH="0" baseline="0" noProof="0">
              <a:ln>
                <a:noFill/>
              </a:ln>
              <a:solidFill>
                <a:prstClr val="white"/>
              </a:solidFill>
              <a:effectLst/>
              <a:uLnTx/>
              <a:uFillTx/>
              <a:latin typeface="+mn-lt"/>
              <a:ea typeface="+mn-ea"/>
              <a:cs typeface="+mn-cs"/>
            </a:rPr>
            <a:t>/?utm_source=PriceQuoteXLS</a:t>
          </a:r>
          <a:endParaRPr kumimoji="0" lang="en-CA" sz="10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ts val="800"/>
            </a:lnSpc>
            <a:spcBef>
              <a:spcPts val="0"/>
            </a:spcBef>
            <a:spcAft>
              <a:spcPts val="0"/>
            </a:spcAft>
            <a:buClrTx/>
            <a:buSzTx/>
            <a:buFontTx/>
            <a:buNone/>
            <a:tabLst/>
            <a:defRPr/>
          </a:pPr>
          <a:r>
            <a:rPr lang="en-CA" sz="900" b="0" i="0" u="none" strike="noStrike">
              <a:solidFill>
                <a:sysClr val="windowText" lastClr="000000"/>
              </a:solidFill>
              <a:effectLst/>
              <a:latin typeface="+mn-lt"/>
              <a:ea typeface="+mn-ea"/>
              <a:cs typeface="+mn-cs"/>
            </a:rPr>
            <a:t>Tel. 418 653-1347    </a:t>
          </a:r>
          <a:r>
            <a:rPr lang="en-CA" sz="900">
              <a:solidFill>
                <a:sysClr val="windowText" lastClr="000000"/>
              </a:solidFill>
            </a:rPr>
            <a:t>  </a:t>
          </a:r>
          <a:r>
            <a:rPr lang="en-CA" sz="900" b="0" i="0">
              <a:solidFill>
                <a:sysClr val="windowText" lastClr="000000"/>
              </a:solidFill>
              <a:effectLst/>
              <a:latin typeface="+mn-lt"/>
              <a:ea typeface="+mn-ea"/>
              <a:cs typeface="+mn-cs"/>
            </a:rPr>
            <a:t>DUNS 25-526-0127</a:t>
          </a:r>
          <a:r>
            <a:rPr lang="en-CA" sz="900">
              <a:solidFill>
                <a:sysClr val="windowText" lastClr="000000"/>
              </a:solidFill>
              <a:effectLst/>
              <a:latin typeface="+mn-lt"/>
              <a:ea typeface="+mn-ea"/>
              <a:cs typeface="+mn-cs"/>
            </a:rPr>
            <a:t> </a:t>
          </a:r>
          <a:endParaRPr lang="en-CA" sz="900">
            <a:solidFill>
              <a:sysClr val="windowText" lastClr="000000"/>
            </a:solidFill>
            <a:effectLst/>
          </a:endParaRPr>
        </a:p>
        <a:p>
          <a:pPr marL="0" marR="0" lvl="0" indent="0" defTabSz="914400" eaLnBrk="1" fontAlgn="auto" latinLnBrk="0" hangingPunct="1">
            <a:lnSpc>
              <a:spcPts val="800"/>
            </a:lnSpc>
            <a:spcBef>
              <a:spcPts val="0"/>
            </a:spcBef>
            <a:spcAft>
              <a:spcPts val="0"/>
            </a:spcAft>
            <a:buClrTx/>
            <a:buSzTx/>
            <a:buFontTx/>
            <a:buNone/>
            <a:tabLst/>
            <a:defRPr/>
          </a:pPr>
          <a:r>
            <a:rPr kumimoji="0" lang="en-CA" sz="900" b="0" i="0" u="none" strike="noStrike" kern="0" cap="none" spc="0" normalizeH="0" baseline="0" noProof="0">
              <a:ln>
                <a:noFill/>
              </a:ln>
              <a:solidFill>
                <a:sysClr val="windowText" lastClr="000000"/>
              </a:solidFill>
              <a:effectLst/>
              <a:uLnTx/>
              <a:uFillTx/>
              <a:latin typeface="+mn-lt"/>
              <a:ea typeface="+mn-ea"/>
              <a:cs typeface="+mn-cs"/>
            </a:rPr>
            <a:t>Tax ID (GST):  13080 1764 RT0001</a:t>
          </a:r>
        </a:p>
        <a:p>
          <a:pPr>
            <a:lnSpc>
              <a:spcPts val="800"/>
            </a:lnSpc>
          </a:pPr>
          <a:endParaRPr lang="en-CA" sz="900">
            <a:solidFill>
              <a:sysClr val="windowText" lastClr="000000"/>
            </a:solidFill>
          </a:endParaRPr>
        </a:p>
      </xdr:txBody>
    </xdr:sp>
    <xdr:clientData/>
  </xdr:twoCellAnchor>
  <xdr:twoCellAnchor editAs="absolute">
    <xdr:from>
      <xdr:col>21</xdr:col>
      <xdr:colOff>89289</xdr:colOff>
      <xdr:row>0</xdr:row>
      <xdr:rowOff>0</xdr:rowOff>
    </xdr:from>
    <xdr:to>
      <xdr:col>24</xdr:col>
      <xdr:colOff>173192</xdr:colOff>
      <xdr:row>2</xdr:row>
      <xdr:rowOff>81471</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09289" y="0"/>
          <a:ext cx="1131653" cy="491046"/>
        </a:xfrm>
        <a:prstGeom prst="rect">
          <a:avLst/>
        </a:prstGeom>
      </xdr:spPr>
    </xdr:pic>
    <xdr:clientData/>
  </xdr:twoCellAnchor>
  <xdr:twoCellAnchor editAs="absolute">
    <xdr:from>
      <xdr:col>31</xdr:col>
      <xdr:colOff>2550</xdr:colOff>
      <xdr:row>1</xdr:row>
      <xdr:rowOff>1224</xdr:rowOff>
    </xdr:from>
    <xdr:to>
      <xdr:col>37</xdr:col>
      <xdr:colOff>0</xdr:colOff>
      <xdr:row>7</xdr:row>
      <xdr:rowOff>5058</xdr:rowOff>
    </xdr:to>
    <xdr:sp macro="" textlink="">
      <xdr:nvSpPr>
        <xdr:cNvPr id="6" name="Rectangle: Rounded Corners 5">
          <a:extLst>
            <a:ext uri="{FF2B5EF4-FFF2-40B4-BE49-F238E27FC236}">
              <a16:creationId xmlns:a16="http://schemas.microsoft.com/office/drawing/2014/main" id="{00000000-0008-0000-0400-000006000000}"/>
            </a:ext>
          </a:extLst>
        </xdr:cNvPr>
        <xdr:cNvSpPr/>
      </xdr:nvSpPr>
      <xdr:spPr>
        <a:xfrm>
          <a:off x="11946900" y="258399"/>
          <a:ext cx="2588250" cy="918234"/>
        </a:xfrm>
        <a:prstGeom prst="roundRect">
          <a:avLst>
            <a:gd name="adj" fmla="val 2746"/>
          </a:avLst>
        </a:prstGeom>
        <a:noFill/>
        <a:ln w="9525">
          <a:solidFill>
            <a:srgbClr val="1185E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a:p>
        <a:p>
          <a:pPr algn="l"/>
          <a:endParaRPr lang="en-US"/>
        </a:p>
      </xdr:txBody>
    </xdr:sp>
    <xdr:clientData/>
  </xdr:twoCellAnchor>
  <xdr:twoCellAnchor editAs="absolute">
    <xdr:from>
      <xdr:col>19</xdr:col>
      <xdr:colOff>20955</xdr:colOff>
      <xdr:row>2</xdr:row>
      <xdr:rowOff>63211</xdr:rowOff>
    </xdr:from>
    <xdr:to>
      <xdr:col>28</xdr:col>
      <xdr:colOff>669772</xdr:colOff>
      <xdr:row>9</xdr:row>
      <xdr:rowOff>79513</xdr:rowOff>
    </xdr:to>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7317105" y="472786"/>
          <a:ext cx="3315817" cy="85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800"/>
            </a:lnSpc>
          </a:pPr>
          <a:r>
            <a:rPr lang="en-CA" sz="1000" b="1" i="0" u="none" strike="noStrike">
              <a:solidFill>
                <a:sysClr val="windowText" lastClr="000000"/>
              </a:solidFill>
              <a:effectLst/>
              <a:latin typeface="+mn-lt"/>
              <a:ea typeface="+mn-ea"/>
              <a:cs typeface="+mn-cs"/>
            </a:rPr>
            <a:t>REGENT INSTRUMENTS INC.</a:t>
          </a:r>
          <a:r>
            <a:rPr lang="en-CA" sz="1000">
              <a:solidFill>
                <a:sysClr val="windowText" lastClr="000000"/>
              </a:solidFill>
            </a:rPr>
            <a:t> </a:t>
          </a:r>
        </a:p>
        <a:p>
          <a:pPr algn="l">
            <a:lnSpc>
              <a:spcPts val="800"/>
            </a:lnSpc>
          </a:pPr>
          <a:r>
            <a:rPr lang="en-CA" sz="900" b="0" i="0" u="none" strike="noStrike">
              <a:solidFill>
                <a:sysClr val="windowText" lastClr="000000"/>
              </a:solidFill>
              <a:effectLst/>
              <a:latin typeface="+mn-lt"/>
              <a:ea typeface="+mn-ea"/>
              <a:cs typeface="+mn-cs"/>
            </a:rPr>
            <a:t>7140, Blvd Wilfrid-Hamel</a:t>
          </a:r>
          <a:r>
            <a:rPr lang="en-CA" sz="900">
              <a:solidFill>
                <a:sysClr val="windowText" lastClr="000000"/>
              </a:solidFill>
            </a:rPr>
            <a:t> </a:t>
          </a:r>
        </a:p>
        <a:p>
          <a:pPr algn="l">
            <a:lnSpc>
              <a:spcPts val="800"/>
            </a:lnSpc>
          </a:pPr>
          <a:r>
            <a:rPr lang="en-CA" sz="900" b="0" i="0" u="none" strike="noStrike">
              <a:solidFill>
                <a:sysClr val="windowText" lastClr="000000"/>
              </a:solidFill>
              <a:effectLst/>
              <a:latin typeface="+mn-lt"/>
              <a:ea typeface="+mn-ea"/>
              <a:cs typeface="+mn-cs"/>
            </a:rPr>
            <a:t>Quebec, QC, G2G 1B5 CANADA</a:t>
          </a:r>
        </a:p>
        <a:p>
          <a:pPr marL="0" marR="0" lvl="0" indent="0" defTabSz="914400" eaLnBrk="1" fontAlgn="auto" latinLnBrk="0" hangingPunct="1">
            <a:lnSpc>
              <a:spcPts val="800"/>
            </a:lnSpc>
            <a:spcBef>
              <a:spcPts val="0"/>
            </a:spcBef>
            <a:spcAft>
              <a:spcPts val="0"/>
            </a:spcAft>
            <a:buClrTx/>
            <a:buSzTx/>
            <a:buFontTx/>
            <a:buNone/>
            <a:tabLst/>
            <a:defRPr/>
          </a:pPr>
          <a:r>
            <a:rPr lang="en-CA" sz="900" b="0" i="0">
              <a:solidFill>
                <a:sysClr val="windowText" lastClr="000000"/>
              </a:solidFill>
              <a:effectLst/>
              <a:latin typeface="+mn-lt"/>
              <a:ea typeface="+mn-ea"/>
              <a:cs typeface="+mn-cs"/>
            </a:rPr>
            <a:t>www.regentinstruments.com</a:t>
          </a:r>
          <a:r>
            <a:rPr kumimoji="0" lang="en-CA" sz="200" b="0" i="0" u="none" strike="noStrike" kern="0" cap="none" spc="0" normalizeH="0" baseline="0" noProof="0">
              <a:ln>
                <a:noFill/>
              </a:ln>
              <a:solidFill>
                <a:prstClr val="white"/>
              </a:solidFill>
              <a:effectLst/>
              <a:uLnTx/>
              <a:uFillTx/>
              <a:latin typeface="+mn-lt"/>
              <a:ea typeface="+mn-ea"/>
              <a:cs typeface="+mn-cs"/>
            </a:rPr>
            <a:t>/?utm_source=PriceQuoteXLS</a:t>
          </a:r>
          <a:endParaRPr kumimoji="0" lang="en-CA" sz="10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ts val="800"/>
            </a:lnSpc>
            <a:spcBef>
              <a:spcPts val="0"/>
            </a:spcBef>
            <a:spcAft>
              <a:spcPts val="0"/>
            </a:spcAft>
            <a:buClrTx/>
            <a:buSzTx/>
            <a:buFontTx/>
            <a:buNone/>
            <a:tabLst/>
            <a:defRPr/>
          </a:pPr>
          <a:r>
            <a:rPr lang="en-CA" sz="900" b="0" i="0" u="none" strike="noStrike">
              <a:solidFill>
                <a:sysClr val="windowText" lastClr="000000"/>
              </a:solidFill>
              <a:effectLst/>
              <a:latin typeface="+mn-lt"/>
              <a:ea typeface="+mn-ea"/>
              <a:cs typeface="+mn-cs"/>
            </a:rPr>
            <a:t>Tel. 418 653-1347    </a:t>
          </a:r>
          <a:r>
            <a:rPr lang="en-CA" sz="900">
              <a:solidFill>
                <a:sysClr val="windowText" lastClr="000000"/>
              </a:solidFill>
            </a:rPr>
            <a:t>  </a:t>
          </a:r>
          <a:r>
            <a:rPr lang="en-CA" sz="900" b="0" i="0">
              <a:solidFill>
                <a:sysClr val="windowText" lastClr="000000"/>
              </a:solidFill>
              <a:effectLst/>
              <a:latin typeface="+mn-lt"/>
              <a:ea typeface="+mn-ea"/>
              <a:cs typeface="+mn-cs"/>
            </a:rPr>
            <a:t>DUNS 25-526-0127</a:t>
          </a:r>
          <a:r>
            <a:rPr lang="en-CA" sz="900">
              <a:solidFill>
                <a:sysClr val="windowText" lastClr="000000"/>
              </a:solidFill>
              <a:effectLst/>
              <a:latin typeface="+mn-lt"/>
              <a:ea typeface="+mn-ea"/>
              <a:cs typeface="+mn-cs"/>
            </a:rPr>
            <a:t> </a:t>
          </a:r>
          <a:endParaRPr lang="en-CA" sz="900">
            <a:solidFill>
              <a:sysClr val="windowText" lastClr="000000"/>
            </a:solidFill>
            <a:effectLst/>
          </a:endParaRPr>
        </a:p>
        <a:p>
          <a:pPr marL="0" marR="0" lvl="0" indent="0" defTabSz="914400" eaLnBrk="1" fontAlgn="auto" latinLnBrk="0" hangingPunct="1">
            <a:lnSpc>
              <a:spcPts val="800"/>
            </a:lnSpc>
            <a:spcBef>
              <a:spcPts val="0"/>
            </a:spcBef>
            <a:spcAft>
              <a:spcPts val="0"/>
            </a:spcAft>
            <a:buClrTx/>
            <a:buSzTx/>
            <a:buFontTx/>
            <a:buNone/>
            <a:tabLst/>
            <a:defRPr/>
          </a:pPr>
          <a:r>
            <a:rPr kumimoji="0" lang="en-CA" sz="900" b="0" i="0" u="none" strike="noStrike" kern="0" cap="none" spc="0" normalizeH="0" baseline="0" noProof="0">
              <a:ln>
                <a:noFill/>
              </a:ln>
              <a:solidFill>
                <a:sysClr val="windowText" lastClr="000000"/>
              </a:solidFill>
              <a:effectLst/>
              <a:uLnTx/>
              <a:uFillTx/>
              <a:latin typeface="+mn-lt"/>
              <a:ea typeface="+mn-ea"/>
              <a:cs typeface="+mn-cs"/>
            </a:rPr>
            <a:t>Tax ID (GST):  13080 1764 RT0001</a:t>
          </a:r>
        </a:p>
        <a:p>
          <a:pPr>
            <a:lnSpc>
              <a:spcPts val="800"/>
            </a:lnSpc>
          </a:pPr>
          <a:endParaRPr lang="en-CA" sz="900">
            <a:solidFill>
              <a:sysClr val="windowText" lastClr="000000"/>
            </a:solidFill>
          </a:endParaRPr>
        </a:p>
      </xdr:txBody>
    </xdr:sp>
    <xdr:clientData/>
  </xdr:twoCellAnchor>
  <xdr:oneCellAnchor>
    <xdr:from>
      <xdr:col>0</xdr:col>
      <xdr:colOff>0</xdr:colOff>
      <xdr:row>0</xdr:row>
      <xdr:rowOff>0</xdr:rowOff>
    </xdr:from>
    <xdr:ext cx="7324397" cy="9465878"/>
    <xdr:sp macro="" textlink="">
      <xdr:nvSpPr>
        <xdr:cNvPr id="8" name="Textbox_InternetWatermark_PList" hidden="1">
          <a:extLst>
            <a:ext uri="{FF2B5EF4-FFF2-40B4-BE49-F238E27FC236}">
              <a16:creationId xmlns:a16="http://schemas.microsoft.com/office/drawing/2014/main" id="{D94E9C79-A15A-4814-8D51-374F3F8F245A}"/>
            </a:ext>
          </a:extLst>
        </xdr:cNvPr>
        <xdr:cNvSpPr txBox="1"/>
      </xdr:nvSpPr>
      <xdr:spPr>
        <a:xfrm>
          <a:off x="0" y="0"/>
          <a:ext cx="7324397" cy="946587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noAutofit/>
        </a:bodyPr>
        <a:lstStyle/>
        <a:p>
          <a:pPr lvl="1"/>
          <a:r>
            <a:rPr lang="en-CA" sz="5000">
              <a:solidFill>
                <a:schemeClr val="dk1">
                  <a:alpha val="15000"/>
                </a:schemeClr>
              </a:solidFill>
            </a:rPr>
            <a:t>Désactiver </a:t>
          </a:r>
        </a:p>
        <a:p>
          <a:pPr lvl="1"/>
          <a:r>
            <a:rPr lang="en-CA" sz="5000">
              <a:solidFill>
                <a:schemeClr val="dk1">
                  <a:alpha val="15000"/>
                </a:schemeClr>
              </a:solidFill>
            </a:rPr>
            <a:t>"Internet Download"</a:t>
          </a:r>
        </a:p>
        <a:p>
          <a:pPr lvl="1"/>
          <a:r>
            <a:rPr lang="en-CA" sz="5000">
              <a:solidFill>
                <a:schemeClr val="dk1">
                  <a:alpha val="15000"/>
                </a:schemeClr>
              </a:solidFill>
            </a:rPr>
            <a:t>pour voir/imprimer cette page</a:t>
          </a:r>
        </a:p>
      </xdr:txBody>
    </xdr:sp>
    <xdr:clientData/>
  </xdr:one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152400</xdr:colOff>
          <xdr:row>0</xdr:row>
          <xdr:rowOff>177800</xdr:rowOff>
        </xdr:from>
        <xdr:to>
          <xdr:col>5</xdr:col>
          <xdr:colOff>330200</xdr:colOff>
          <xdr:row>0</xdr:row>
          <xdr:rowOff>406400</xdr:rowOff>
        </xdr:to>
        <xdr:sp macro="" textlink="">
          <xdr:nvSpPr>
            <xdr:cNvPr id="116737" name="Chkbox_EtiqShip1" hidden="1">
              <a:extLst>
                <a:ext uri="{63B3BB69-23CF-44E3-9099-C40C66FF867C}">
                  <a14:compatExt spid="_x0000_s116737"/>
                </a:ext>
                <a:ext uri="{FF2B5EF4-FFF2-40B4-BE49-F238E27FC236}">
                  <a16:creationId xmlns:a16="http://schemas.microsoft.com/office/drawing/2014/main" id="{00000000-0008-0000-0500-000001C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Etiquette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0</xdr:row>
          <xdr:rowOff>177800</xdr:rowOff>
        </xdr:from>
        <xdr:to>
          <xdr:col>13</xdr:col>
          <xdr:colOff>368300</xdr:colOff>
          <xdr:row>0</xdr:row>
          <xdr:rowOff>406400</xdr:rowOff>
        </xdr:to>
        <xdr:sp macro="" textlink="">
          <xdr:nvSpPr>
            <xdr:cNvPr id="116738" name="Chkbox_EtiqShip2" hidden="1">
              <a:extLst>
                <a:ext uri="{63B3BB69-23CF-44E3-9099-C40C66FF867C}">
                  <a14:compatExt spid="_x0000_s116738"/>
                </a:ext>
                <a:ext uri="{FF2B5EF4-FFF2-40B4-BE49-F238E27FC236}">
                  <a16:creationId xmlns:a16="http://schemas.microsoft.com/office/drawing/2014/main" id="{00000000-0008-0000-0500-000002C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Etiquette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16</xdr:row>
          <xdr:rowOff>444500</xdr:rowOff>
        </xdr:from>
        <xdr:to>
          <xdr:col>5</xdr:col>
          <xdr:colOff>330200</xdr:colOff>
          <xdr:row>16</xdr:row>
          <xdr:rowOff>673100</xdr:rowOff>
        </xdr:to>
        <xdr:sp macro="" textlink="">
          <xdr:nvSpPr>
            <xdr:cNvPr id="116741" name="Chkbox_EtiqShip3" hidden="1">
              <a:extLst>
                <a:ext uri="{63B3BB69-23CF-44E3-9099-C40C66FF867C}">
                  <a14:compatExt spid="_x0000_s116741"/>
                </a:ext>
                <a:ext uri="{FF2B5EF4-FFF2-40B4-BE49-F238E27FC236}">
                  <a16:creationId xmlns:a16="http://schemas.microsoft.com/office/drawing/2014/main" id="{00000000-0008-0000-0500-000005C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Etiquette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16</xdr:row>
          <xdr:rowOff>444500</xdr:rowOff>
        </xdr:from>
        <xdr:to>
          <xdr:col>13</xdr:col>
          <xdr:colOff>368300</xdr:colOff>
          <xdr:row>16</xdr:row>
          <xdr:rowOff>673100</xdr:rowOff>
        </xdr:to>
        <xdr:sp macro="" textlink="">
          <xdr:nvSpPr>
            <xdr:cNvPr id="116742" name="Chkbox_EtiqShip4" hidden="1">
              <a:extLst>
                <a:ext uri="{63B3BB69-23CF-44E3-9099-C40C66FF867C}">
                  <a14:compatExt spid="_x0000_s116742"/>
                </a:ext>
                <a:ext uri="{FF2B5EF4-FFF2-40B4-BE49-F238E27FC236}">
                  <a16:creationId xmlns:a16="http://schemas.microsoft.com/office/drawing/2014/main" id="{00000000-0008-0000-0500-000006C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Etiquette 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32</xdr:row>
          <xdr:rowOff>711200</xdr:rowOff>
        </xdr:from>
        <xdr:to>
          <xdr:col>5</xdr:col>
          <xdr:colOff>330200</xdr:colOff>
          <xdr:row>32</xdr:row>
          <xdr:rowOff>914400</xdr:rowOff>
        </xdr:to>
        <xdr:sp macro="" textlink="">
          <xdr:nvSpPr>
            <xdr:cNvPr id="116743" name="Chkbox_EtiqShip5" hidden="1">
              <a:extLst>
                <a:ext uri="{63B3BB69-23CF-44E3-9099-C40C66FF867C}">
                  <a14:compatExt spid="_x0000_s116743"/>
                </a:ext>
                <a:ext uri="{FF2B5EF4-FFF2-40B4-BE49-F238E27FC236}">
                  <a16:creationId xmlns:a16="http://schemas.microsoft.com/office/drawing/2014/main" id="{00000000-0008-0000-0500-000007C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Etiquette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32</xdr:row>
          <xdr:rowOff>711200</xdr:rowOff>
        </xdr:from>
        <xdr:to>
          <xdr:col>13</xdr:col>
          <xdr:colOff>330200</xdr:colOff>
          <xdr:row>32</xdr:row>
          <xdr:rowOff>914400</xdr:rowOff>
        </xdr:to>
        <xdr:sp macro="" textlink="">
          <xdr:nvSpPr>
            <xdr:cNvPr id="116744" name="Chkbox_EtiqShip6" hidden="1">
              <a:extLst>
                <a:ext uri="{63B3BB69-23CF-44E3-9099-C40C66FF867C}">
                  <a14:compatExt spid="_x0000_s116744"/>
                </a:ext>
                <a:ext uri="{FF2B5EF4-FFF2-40B4-BE49-F238E27FC236}">
                  <a16:creationId xmlns:a16="http://schemas.microsoft.com/office/drawing/2014/main" id="{00000000-0008-0000-0500-000008C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Etiquette 6</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3</xdr:col>
      <xdr:colOff>668656</xdr:colOff>
      <xdr:row>277</xdr:row>
      <xdr:rowOff>34011</xdr:rowOff>
    </xdr:from>
    <xdr:to>
      <xdr:col>3</xdr:col>
      <xdr:colOff>920116</xdr:colOff>
      <xdr:row>277</xdr:row>
      <xdr:rowOff>199746</xdr:rowOff>
    </xdr:to>
    <xdr:sp macro="" textlink="">
      <xdr:nvSpPr>
        <xdr:cNvPr id="304" name="Serial Number Textbox">
          <a:extLst>
            <a:ext uri="{FF2B5EF4-FFF2-40B4-BE49-F238E27FC236}">
              <a16:creationId xmlns:a16="http://schemas.microsoft.com/office/drawing/2014/main" id="{00000000-0008-0000-0600-000030010000}"/>
            </a:ext>
          </a:extLst>
        </xdr:cNvPr>
        <xdr:cNvSpPr txBox="1"/>
      </xdr:nvSpPr>
      <xdr:spPr>
        <a:xfrm>
          <a:off x="2449831" y="89940486"/>
          <a:ext cx="251460" cy="165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270</xdr:row>
      <xdr:rowOff>34011</xdr:rowOff>
    </xdr:from>
    <xdr:to>
      <xdr:col>3</xdr:col>
      <xdr:colOff>920116</xdr:colOff>
      <xdr:row>270</xdr:row>
      <xdr:rowOff>209271</xdr:rowOff>
    </xdr:to>
    <xdr:sp macro="" textlink="">
      <xdr:nvSpPr>
        <xdr:cNvPr id="305" name="Serial Number Textbox">
          <a:extLst>
            <a:ext uri="{FF2B5EF4-FFF2-40B4-BE49-F238E27FC236}">
              <a16:creationId xmlns:a16="http://schemas.microsoft.com/office/drawing/2014/main" id="{00000000-0008-0000-0600-000031010000}"/>
            </a:ext>
          </a:extLst>
        </xdr:cNvPr>
        <xdr:cNvSpPr txBox="1"/>
      </xdr:nvSpPr>
      <xdr:spPr>
        <a:xfrm>
          <a:off x="2449831" y="85044636"/>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305</xdr:row>
      <xdr:rowOff>34011</xdr:rowOff>
    </xdr:from>
    <xdr:to>
      <xdr:col>3</xdr:col>
      <xdr:colOff>920116</xdr:colOff>
      <xdr:row>305</xdr:row>
      <xdr:rowOff>209271</xdr:rowOff>
    </xdr:to>
    <xdr:sp macro="" textlink="">
      <xdr:nvSpPr>
        <xdr:cNvPr id="310" name="Serial Number Textbox">
          <a:extLst>
            <a:ext uri="{FF2B5EF4-FFF2-40B4-BE49-F238E27FC236}">
              <a16:creationId xmlns:a16="http://schemas.microsoft.com/office/drawing/2014/main" id="{00000000-0008-0000-0600-000036010000}"/>
            </a:ext>
          </a:extLst>
        </xdr:cNvPr>
        <xdr:cNvSpPr txBox="1"/>
      </xdr:nvSpPr>
      <xdr:spPr>
        <a:xfrm>
          <a:off x="2449831" y="95045886"/>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309</xdr:row>
      <xdr:rowOff>34011</xdr:rowOff>
    </xdr:from>
    <xdr:to>
      <xdr:col>3</xdr:col>
      <xdr:colOff>920116</xdr:colOff>
      <xdr:row>309</xdr:row>
      <xdr:rowOff>209271</xdr:rowOff>
    </xdr:to>
    <xdr:sp macro="" textlink="">
      <xdr:nvSpPr>
        <xdr:cNvPr id="313" name="Serial Number Textbox">
          <a:extLst>
            <a:ext uri="{FF2B5EF4-FFF2-40B4-BE49-F238E27FC236}">
              <a16:creationId xmlns:a16="http://schemas.microsoft.com/office/drawing/2014/main" id="{00000000-0008-0000-0600-000039010000}"/>
            </a:ext>
          </a:extLst>
        </xdr:cNvPr>
        <xdr:cNvSpPr txBox="1"/>
      </xdr:nvSpPr>
      <xdr:spPr>
        <a:xfrm>
          <a:off x="2449831" y="95893611"/>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284</xdr:row>
      <xdr:rowOff>34011</xdr:rowOff>
    </xdr:from>
    <xdr:to>
      <xdr:col>3</xdr:col>
      <xdr:colOff>920116</xdr:colOff>
      <xdr:row>284</xdr:row>
      <xdr:rowOff>199746</xdr:rowOff>
    </xdr:to>
    <xdr:sp macro="" textlink="">
      <xdr:nvSpPr>
        <xdr:cNvPr id="2" name="Serial Number Textbox">
          <a:extLst>
            <a:ext uri="{FF2B5EF4-FFF2-40B4-BE49-F238E27FC236}">
              <a16:creationId xmlns:a16="http://schemas.microsoft.com/office/drawing/2014/main" id="{00000000-0008-0000-0600-000002000000}"/>
            </a:ext>
          </a:extLst>
        </xdr:cNvPr>
        <xdr:cNvSpPr txBox="1"/>
      </xdr:nvSpPr>
      <xdr:spPr>
        <a:xfrm>
          <a:off x="2449831" y="92378886"/>
          <a:ext cx="251460" cy="165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291</xdr:row>
      <xdr:rowOff>34011</xdr:rowOff>
    </xdr:from>
    <xdr:to>
      <xdr:col>3</xdr:col>
      <xdr:colOff>920116</xdr:colOff>
      <xdr:row>291</xdr:row>
      <xdr:rowOff>199746</xdr:rowOff>
    </xdr:to>
    <xdr:sp macro="" textlink="">
      <xdr:nvSpPr>
        <xdr:cNvPr id="3" name="Serial Number Textbox">
          <a:extLst>
            <a:ext uri="{FF2B5EF4-FFF2-40B4-BE49-F238E27FC236}">
              <a16:creationId xmlns:a16="http://schemas.microsoft.com/office/drawing/2014/main" id="{00000000-0008-0000-0600-000003000000}"/>
            </a:ext>
          </a:extLst>
        </xdr:cNvPr>
        <xdr:cNvSpPr txBox="1"/>
      </xdr:nvSpPr>
      <xdr:spPr>
        <a:xfrm>
          <a:off x="2449831" y="92378886"/>
          <a:ext cx="251460" cy="165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298</xdr:row>
      <xdr:rowOff>34011</xdr:rowOff>
    </xdr:from>
    <xdr:to>
      <xdr:col>3</xdr:col>
      <xdr:colOff>920116</xdr:colOff>
      <xdr:row>298</xdr:row>
      <xdr:rowOff>199746</xdr:rowOff>
    </xdr:to>
    <xdr:sp macro="" textlink="">
      <xdr:nvSpPr>
        <xdr:cNvPr id="4" name="Serial Number Textbox">
          <a:extLst>
            <a:ext uri="{FF2B5EF4-FFF2-40B4-BE49-F238E27FC236}">
              <a16:creationId xmlns:a16="http://schemas.microsoft.com/office/drawing/2014/main" id="{00000000-0008-0000-0600-000004000000}"/>
            </a:ext>
          </a:extLst>
        </xdr:cNvPr>
        <xdr:cNvSpPr txBox="1"/>
      </xdr:nvSpPr>
      <xdr:spPr>
        <a:xfrm>
          <a:off x="2449831" y="92378886"/>
          <a:ext cx="251460" cy="165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313</xdr:row>
      <xdr:rowOff>34011</xdr:rowOff>
    </xdr:from>
    <xdr:to>
      <xdr:col>3</xdr:col>
      <xdr:colOff>920116</xdr:colOff>
      <xdr:row>313</xdr:row>
      <xdr:rowOff>209271</xdr:rowOff>
    </xdr:to>
    <xdr:sp macro="" textlink="">
      <xdr:nvSpPr>
        <xdr:cNvPr id="8" name="Serial Number Textbox">
          <a:extLst>
            <a:ext uri="{FF2B5EF4-FFF2-40B4-BE49-F238E27FC236}">
              <a16:creationId xmlns:a16="http://schemas.microsoft.com/office/drawing/2014/main" id="{00000000-0008-0000-0600-000008000000}"/>
            </a:ext>
          </a:extLst>
        </xdr:cNvPr>
        <xdr:cNvSpPr txBox="1"/>
      </xdr:nvSpPr>
      <xdr:spPr>
        <a:xfrm>
          <a:off x="2449831" y="112762386"/>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317</xdr:row>
      <xdr:rowOff>34011</xdr:rowOff>
    </xdr:from>
    <xdr:to>
      <xdr:col>3</xdr:col>
      <xdr:colOff>920116</xdr:colOff>
      <xdr:row>317</xdr:row>
      <xdr:rowOff>209271</xdr:rowOff>
    </xdr:to>
    <xdr:sp macro="" textlink="">
      <xdr:nvSpPr>
        <xdr:cNvPr id="9" name="Serial Number Textbox">
          <a:extLst>
            <a:ext uri="{FF2B5EF4-FFF2-40B4-BE49-F238E27FC236}">
              <a16:creationId xmlns:a16="http://schemas.microsoft.com/office/drawing/2014/main" id="{00000000-0008-0000-0600-000009000000}"/>
            </a:ext>
          </a:extLst>
        </xdr:cNvPr>
        <xdr:cNvSpPr txBox="1"/>
      </xdr:nvSpPr>
      <xdr:spPr>
        <a:xfrm>
          <a:off x="2449831" y="112762386"/>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321</xdr:row>
      <xdr:rowOff>34011</xdr:rowOff>
    </xdr:from>
    <xdr:to>
      <xdr:col>3</xdr:col>
      <xdr:colOff>920116</xdr:colOff>
      <xdr:row>321</xdr:row>
      <xdr:rowOff>209271</xdr:rowOff>
    </xdr:to>
    <xdr:sp macro="" textlink="">
      <xdr:nvSpPr>
        <xdr:cNvPr id="10" name="Serial Number Textbox">
          <a:extLst>
            <a:ext uri="{FF2B5EF4-FFF2-40B4-BE49-F238E27FC236}">
              <a16:creationId xmlns:a16="http://schemas.microsoft.com/office/drawing/2014/main" id="{00000000-0008-0000-0600-00000A000000}"/>
            </a:ext>
          </a:extLst>
        </xdr:cNvPr>
        <xdr:cNvSpPr txBox="1"/>
      </xdr:nvSpPr>
      <xdr:spPr>
        <a:xfrm>
          <a:off x="2449831" y="112762386"/>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254</xdr:row>
      <xdr:rowOff>34011</xdr:rowOff>
    </xdr:from>
    <xdr:to>
      <xdr:col>3</xdr:col>
      <xdr:colOff>920116</xdr:colOff>
      <xdr:row>254</xdr:row>
      <xdr:rowOff>209271</xdr:rowOff>
    </xdr:to>
    <xdr:sp macro="" textlink="">
      <xdr:nvSpPr>
        <xdr:cNvPr id="306" name="Serial Number Textbox">
          <a:extLst>
            <a:ext uri="{FF2B5EF4-FFF2-40B4-BE49-F238E27FC236}">
              <a16:creationId xmlns:a16="http://schemas.microsoft.com/office/drawing/2014/main" id="{00000000-0008-0000-0600-000032010000}"/>
            </a:ext>
          </a:extLst>
        </xdr:cNvPr>
        <xdr:cNvSpPr txBox="1"/>
      </xdr:nvSpPr>
      <xdr:spPr>
        <a:xfrm>
          <a:off x="2449831" y="83958786"/>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250</xdr:row>
      <xdr:rowOff>34011</xdr:rowOff>
    </xdr:from>
    <xdr:to>
      <xdr:col>3</xdr:col>
      <xdr:colOff>920116</xdr:colOff>
      <xdr:row>250</xdr:row>
      <xdr:rowOff>209271</xdr:rowOff>
    </xdr:to>
    <xdr:sp macro="" textlink="">
      <xdr:nvSpPr>
        <xdr:cNvPr id="307" name="Serial Number Textbox">
          <a:extLst>
            <a:ext uri="{FF2B5EF4-FFF2-40B4-BE49-F238E27FC236}">
              <a16:creationId xmlns:a16="http://schemas.microsoft.com/office/drawing/2014/main" id="{00000000-0008-0000-0600-000033010000}"/>
            </a:ext>
          </a:extLst>
        </xdr:cNvPr>
        <xdr:cNvSpPr txBox="1"/>
      </xdr:nvSpPr>
      <xdr:spPr>
        <a:xfrm>
          <a:off x="2449831" y="83111061"/>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258</xdr:row>
      <xdr:rowOff>34011</xdr:rowOff>
    </xdr:from>
    <xdr:to>
      <xdr:col>3</xdr:col>
      <xdr:colOff>920116</xdr:colOff>
      <xdr:row>258</xdr:row>
      <xdr:rowOff>209271</xdr:rowOff>
    </xdr:to>
    <xdr:sp macro="" textlink="">
      <xdr:nvSpPr>
        <xdr:cNvPr id="5" name="Serial Number Textbox">
          <a:extLst>
            <a:ext uri="{FF2B5EF4-FFF2-40B4-BE49-F238E27FC236}">
              <a16:creationId xmlns:a16="http://schemas.microsoft.com/office/drawing/2014/main" id="{00000000-0008-0000-0600-000005000000}"/>
            </a:ext>
          </a:extLst>
        </xdr:cNvPr>
        <xdr:cNvSpPr txBox="1"/>
      </xdr:nvSpPr>
      <xdr:spPr>
        <a:xfrm>
          <a:off x="2449831" y="83653986"/>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262</xdr:row>
      <xdr:rowOff>34011</xdr:rowOff>
    </xdr:from>
    <xdr:to>
      <xdr:col>3</xdr:col>
      <xdr:colOff>920116</xdr:colOff>
      <xdr:row>262</xdr:row>
      <xdr:rowOff>209271</xdr:rowOff>
    </xdr:to>
    <xdr:sp macro="" textlink="">
      <xdr:nvSpPr>
        <xdr:cNvPr id="6" name="Serial Number Textbox">
          <a:extLst>
            <a:ext uri="{FF2B5EF4-FFF2-40B4-BE49-F238E27FC236}">
              <a16:creationId xmlns:a16="http://schemas.microsoft.com/office/drawing/2014/main" id="{00000000-0008-0000-0600-000006000000}"/>
            </a:ext>
          </a:extLst>
        </xdr:cNvPr>
        <xdr:cNvSpPr txBox="1"/>
      </xdr:nvSpPr>
      <xdr:spPr>
        <a:xfrm>
          <a:off x="2449831" y="83653986"/>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266</xdr:row>
      <xdr:rowOff>34011</xdr:rowOff>
    </xdr:from>
    <xdr:to>
      <xdr:col>3</xdr:col>
      <xdr:colOff>920116</xdr:colOff>
      <xdr:row>266</xdr:row>
      <xdr:rowOff>209271</xdr:rowOff>
    </xdr:to>
    <xdr:sp macro="" textlink="">
      <xdr:nvSpPr>
        <xdr:cNvPr id="7" name="Serial Number Textbox">
          <a:extLst>
            <a:ext uri="{FF2B5EF4-FFF2-40B4-BE49-F238E27FC236}">
              <a16:creationId xmlns:a16="http://schemas.microsoft.com/office/drawing/2014/main" id="{00000000-0008-0000-0600-000007000000}"/>
            </a:ext>
          </a:extLst>
        </xdr:cNvPr>
        <xdr:cNvSpPr txBox="1"/>
      </xdr:nvSpPr>
      <xdr:spPr>
        <a:xfrm>
          <a:off x="2449831" y="83653986"/>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360</xdr:row>
      <xdr:rowOff>34011</xdr:rowOff>
    </xdr:from>
    <xdr:to>
      <xdr:col>3</xdr:col>
      <xdr:colOff>920116</xdr:colOff>
      <xdr:row>360</xdr:row>
      <xdr:rowOff>209271</xdr:rowOff>
    </xdr:to>
    <xdr:sp macro="" textlink="">
      <xdr:nvSpPr>
        <xdr:cNvPr id="11" name="Serial Number Textbox">
          <a:extLst>
            <a:ext uri="{FF2B5EF4-FFF2-40B4-BE49-F238E27FC236}">
              <a16:creationId xmlns:a16="http://schemas.microsoft.com/office/drawing/2014/main" id="{00000000-0008-0000-0600-00000B000000}"/>
            </a:ext>
          </a:extLst>
        </xdr:cNvPr>
        <xdr:cNvSpPr txBox="1"/>
      </xdr:nvSpPr>
      <xdr:spPr>
        <a:xfrm>
          <a:off x="2449831" y="100751361"/>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364</xdr:row>
      <xdr:rowOff>34011</xdr:rowOff>
    </xdr:from>
    <xdr:to>
      <xdr:col>3</xdr:col>
      <xdr:colOff>920116</xdr:colOff>
      <xdr:row>364</xdr:row>
      <xdr:rowOff>209271</xdr:rowOff>
    </xdr:to>
    <xdr:sp macro="" textlink="">
      <xdr:nvSpPr>
        <xdr:cNvPr id="12" name="Serial Number Textbox">
          <a:extLst>
            <a:ext uri="{FF2B5EF4-FFF2-40B4-BE49-F238E27FC236}">
              <a16:creationId xmlns:a16="http://schemas.microsoft.com/office/drawing/2014/main" id="{00000000-0008-0000-0600-00000C000000}"/>
            </a:ext>
          </a:extLst>
        </xdr:cNvPr>
        <xdr:cNvSpPr txBox="1"/>
      </xdr:nvSpPr>
      <xdr:spPr>
        <a:xfrm>
          <a:off x="2449831" y="118753611"/>
          <a:ext cx="251460" cy="165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368</xdr:row>
      <xdr:rowOff>34011</xdr:rowOff>
    </xdr:from>
    <xdr:to>
      <xdr:col>3</xdr:col>
      <xdr:colOff>920116</xdr:colOff>
      <xdr:row>368</xdr:row>
      <xdr:rowOff>209271</xdr:rowOff>
    </xdr:to>
    <xdr:sp macro="" textlink="">
      <xdr:nvSpPr>
        <xdr:cNvPr id="13" name="Serial Number Textbox">
          <a:extLst>
            <a:ext uri="{FF2B5EF4-FFF2-40B4-BE49-F238E27FC236}">
              <a16:creationId xmlns:a16="http://schemas.microsoft.com/office/drawing/2014/main" id="{00000000-0008-0000-0600-00000D000000}"/>
            </a:ext>
          </a:extLst>
        </xdr:cNvPr>
        <xdr:cNvSpPr txBox="1"/>
      </xdr:nvSpPr>
      <xdr:spPr>
        <a:xfrm>
          <a:off x="2449831" y="118753611"/>
          <a:ext cx="251460" cy="165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372</xdr:row>
      <xdr:rowOff>34011</xdr:rowOff>
    </xdr:from>
    <xdr:to>
      <xdr:col>3</xdr:col>
      <xdr:colOff>920116</xdr:colOff>
      <xdr:row>372</xdr:row>
      <xdr:rowOff>209271</xdr:rowOff>
    </xdr:to>
    <xdr:sp macro="" textlink="">
      <xdr:nvSpPr>
        <xdr:cNvPr id="14" name="Serial Number Textbox">
          <a:extLst>
            <a:ext uri="{FF2B5EF4-FFF2-40B4-BE49-F238E27FC236}">
              <a16:creationId xmlns:a16="http://schemas.microsoft.com/office/drawing/2014/main" id="{00000000-0008-0000-0600-00000E000000}"/>
            </a:ext>
          </a:extLst>
        </xdr:cNvPr>
        <xdr:cNvSpPr txBox="1"/>
      </xdr:nvSpPr>
      <xdr:spPr>
        <a:xfrm>
          <a:off x="2449831" y="118753611"/>
          <a:ext cx="251460" cy="165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376</xdr:row>
      <xdr:rowOff>34011</xdr:rowOff>
    </xdr:from>
    <xdr:to>
      <xdr:col>3</xdr:col>
      <xdr:colOff>920116</xdr:colOff>
      <xdr:row>376</xdr:row>
      <xdr:rowOff>209271</xdr:rowOff>
    </xdr:to>
    <xdr:sp macro="" textlink="">
      <xdr:nvSpPr>
        <xdr:cNvPr id="15" name="Serial Number Textbox">
          <a:extLst>
            <a:ext uri="{FF2B5EF4-FFF2-40B4-BE49-F238E27FC236}">
              <a16:creationId xmlns:a16="http://schemas.microsoft.com/office/drawing/2014/main" id="{00000000-0008-0000-0600-00000F000000}"/>
            </a:ext>
          </a:extLst>
        </xdr:cNvPr>
        <xdr:cNvSpPr txBox="1"/>
      </xdr:nvSpPr>
      <xdr:spPr>
        <a:xfrm>
          <a:off x="2449831" y="118753611"/>
          <a:ext cx="251460" cy="165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380</xdr:row>
      <xdr:rowOff>34011</xdr:rowOff>
    </xdr:from>
    <xdr:to>
      <xdr:col>3</xdr:col>
      <xdr:colOff>920116</xdr:colOff>
      <xdr:row>380</xdr:row>
      <xdr:rowOff>209271</xdr:rowOff>
    </xdr:to>
    <xdr:sp macro="" textlink="">
      <xdr:nvSpPr>
        <xdr:cNvPr id="21" name="Serial Number Textbox">
          <a:extLst>
            <a:ext uri="{FF2B5EF4-FFF2-40B4-BE49-F238E27FC236}">
              <a16:creationId xmlns:a16="http://schemas.microsoft.com/office/drawing/2014/main" id="{00000000-0008-0000-0600-000015000000}"/>
            </a:ext>
          </a:extLst>
        </xdr:cNvPr>
        <xdr:cNvSpPr txBox="1"/>
      </xdr:nvSpPr>
      <xdr:spPr>
        <a:xfrm>
          <a:off x="1668781" y="93655236"/>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384</xdr:row>
      <xdr:rowOff>34011</xdr:rowOff>
    </xdr:from>
    <xdr:to>
      <xdr:col>3</xdr:col>
      <xdr:colOff>920116</xdr:colOff>
      <xdr:row>384</xdr:row>
      <xdr:rowOff>209271</xdr:rowOff>
    </xdr:to>
    <xdr:sp macro="" textlink="">
      <xdr:nvSpPr>
        <xdr:cNvPr id="22" name="Serial Number Textbox">
          <a:extLst>
            <a:ext uri="{FF2B5EF4-FFF2-40B4-BE49-F238E27FC236}">
              <a16:creationId xmlns:a16="http://schemas.microsoft.com/office/drawing/2014/main" id="{00000000-0008-0000-0600-000016000000}"/>
            </a:ext>
          </a:extLst>
        </xdr:cNvPr>
        <xdr:cNvSpPr txBox="1"/>
      </xdr:nvSpPr>
      <xdr:spPr>
        <a:xfrm>
          <a:off x="1668781" y="94569636"/>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388</xdr:row>
      <xdr:rowOff>34011</xdr:rowOff>
    </xdr:from>
    <xdr:to>
      <xdr:col>3</xdr:col>
      <xdr:colOff>920116</xdr:colOff>
      <xdr:row>388</xdr:row>
      <xdr:rowOff>209271</xdr:rowOff>
    </xdr:to>
    <xdr:sp macro="" textlink="">
      <xdr:nvSpPr>
        <xdr:cNvPr id="23" name="Serial Number Textbox">
          <a:extLst>
            <a:ext uri="{FF2B5EF4-FFF2-40B4-BE49-F238E27FC236}">
              <a16:creationId xmlns:a16="http://schemas.microsoft.com/office/drawing/2014/main" id="{00000000-0008-0000-0600-000017000000}"/>
            </a:ext>
          </a:extLst>
        </xdr:cNvPr>
        <xdr:cNvSpPr txBox="1"/>
      </xdr:nvSpPr>
      <xdr:spPr>
        <a:xfrm>
          <a:off x="1668781" y="95484036"/>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392</xdr:row>
      <xdr:rowOff>34011</xdr:rowOff>
    </xdr:from>
    <xdr:to>
      <xdr:col>3</xdr:col>
      <xdr:colOff>920116</xdr:colOff>
      <xdr:row>392</xdr:row>
      <xdr:rowOff>209271</xdr:rowOff>
    </xdr:to>
    <xdr:sp macro="" textlink="">
      <xdr:nvSpPr>
        <xdr:cNvPr id="24" name="Serial Number Textbox">
          <a:extLst>
            <a:ext uri="{FF2B5EF4-FFF2-40B4-BE49-F238E27FC236}">
              <a16:creationId xmlns:a16="http://schemas.microsoft.com/office/drawing/2014/main" id="{00000000-0008-0000-0600-000018000000}"/>
            </a:ext>
          </a:extLst>
        </xdr:cNvPr>
        <xdr:cNvSpPr txBox="1"/>
      </xdr:nvSpPr>
      <xdr:spPr>
        <a:xfrm>
          <a:off x="1668781" y="96398436"/>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396</xdr:row>
      <xdr:rowOff>34011</xdr:rowOff>
    </xdr:from>
    <xdr:to>
      <xdr:col>3</xdr:col>
      <xdr:colOff>920116</xdr:colOff>
      <xdr:row>396</xdr:row>
      <xdr:rowOff>209271</xdr:rowOff>
    </xdr:to>
    <xdr:sp macro="" textlink="">
      <xdr:nvSpPr>
        <xdr:cNvPr id="25" name="Serial Number Textbox">
          <a:extLst>
            <a:ext uri="{FF2B5EF4-FFF2-40B4-BE49-F238E27FC236}">
              <a16:creationId xmlns:a16="http://schemas.microsoft.com/office/drawing/2014/main" id="{00000000-0008-0000-0600-000019000000}"/>
            </a:ext>
          </a:extLst>
        </xdr:cNvPr>
        <xdr:cNvSpPr txBox="1"/>
      </xdr:nvSpPr>
      <xdr:spPr>
        <a:xfrm>
          <a:off x="1668781" y="97312836"/>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325</xdr:row>
      <xdr:rowOff>34011</xdr:rowOff>
    </xdr:from>
    <xdr:to>
      <xdr:col>3</xdr:col>
      <xdr:colOff>920116</xdr:colOff>
      <xdr:row>325</xdr:row>
      <xdr:rowOff>209271</xdr:rowOff>
    </xdr:to>
    <xdr:sp macro="" textlink="">
      <xdr:nvSpPr>
        <xdr:cNvPr id="26" name="Serial Number Textbox">
          <a:extLst>
            <a:ext uri="{FF2B5EF4-FFF2-40B4-BE49-F238E27FC236}">
              <a16:creationId xmlns:a16="http://schemas.microsoft.com/office/drawing/2014/main" id="{00000000-0008-0000-0600-00001A000000}"/>
            </a:ext>
          </a:extLst>
        </xdr:cNvPr>
        <xdr:cNvSpPr txBox="1"/>
      </xdr:nvSpPr>
      <xdr:spPr>
        <a:xfrm>
          <a:off x="2449831" y="87483036"/>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332</xdr:row>
      <xdr:rowOff>34011</xdr:rowOff>
    </xdr:from>
    <xdr:to>
      <xdr:col>3</xdr:col>
      <xdr:colOff>920116</xdr:colOff>
      <xdr:row>332</xdr:row>
      <xdr:rowOff>209271</xdr:rowOff>
    </xdr:to>
    <xdr:sp macro="" textlink="">
      <xdr:nvSpPr>
        <xdr:cNvPr id="27" name="Serial Number Textbox">
          <a:extLst>
            <a:ext uri="{FF2B5EF4-FFF2-40B4-BE49-F238E27FC236}">
              <a16:creationId xmlns:a16="http://schemas.microsoft.com/office/drawing/2014/main" id="{00000000-0008-0000-0600-00001B000000}"/>
            </a:ext>
          </a:extLst>
        </xdr:cNvPr>
        <xdr:cNvSpPr txBox="1"/>
      </xdr:nvSpPr>
      <xdr:spPr>
        <a:xfrm>
          <a:off x="2449831" y="105485286"/>
          <a:ext cx="251460" cy="165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339</xdr:row>
      <xdr:rowOff>34011</xdr:rowOff>
    </xdr:from>
    <xdr:to>
      <xdr:col>3</xdr:col>
      <xdr:colOff>920116</xdr:colOff>
      <xdr:row>339</xdr:row>
      <xdr:rowOff>209271</xdr:rowOff>
    </xdr:to>
    <xdr:sp macro="" textlink="">
      <xdr:nvSpPr>
        <xdr:cNvPr id="28" name="Serial Number Textbox">
          <a:extLst>
            <a:ext uri="{FF2B5EF4-FFF2-40B4-BE49-F238E27FC236}">
              <a16:creationId xmlns:a16="http://schemas.microsoft.com/office/drawing/2014/main" id="{00000000-0008-0000-0600-00001C000000}"/>
            </a:ext>
          </a:extLst>
        </xdr:cNvPr>
        <xdr:cNvSpPr txBox="1"/>
      </xdr:nvSpPr>
      <xdr:spPr>
        <a:xfrm>
          <a:off x="2449831" y="105485286"/>
          <a:ext cx="251460" cy="165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346</xdr:row>
      <xdr:rowOff>34011</xdr:rowOff>
    </xdr:from>
    <xdr:to>
      <xdr:col>3</xdr:col>
      <xdr:colOff>920116</xdr:colOff>
      <xdr:row>346</xdr:row>
      <xdr:rowOff>209271</xdr:rowOff>
    </xdr:to>
    <xdr:sp macro="" textlink="">
      <xdr:nvSpPr>
        <xdr:cNvPr id="29" name="Serial Number Textbox">
          <a:extLst>
            <a:ext uri="{FF2B5EF4-FFF2-40B4-BE49-F238E27FC236}">
              <a16:creationId xmlns:a16="http://schemas.microsoft.com/office/drawing/2014/main" id="{00000000-0008-0000-0600-00001D000000}"/>
            </a:ext>
          </a:extLst>
        </xdr:cNvPr>
        <xdr:cNvSpPr txBox="1"/>
      </xdr:nvSpPr>
      <xdr:spPr>
        <a:xfrm>
          <a:off x="2449831" y="105485286"/>
          <a:ext cx="251460" cy="165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353</xdr:row>
      <xdr:rowOff>34011</xdr:rowOff>
    </xdr:from>
    <xdr:to>
      <xdr:col>3</xdr:col>
      <xdr:colOff>920116</xdr:colOff>
      <xdr:row>353</xdr:row>
      <xdr:rowOff>209271</xdr:rowOff>
    </xdr:to>
    <xdr:sp macro="" textlink="">
      <xdr:nvSpPr>
        <xdr:cNvPr id="30" name="Serial Number Textbox">
          <a:extLst>
            <a:ext uri="{FF2B5EF4-FFF2-40B4-BE49-F238E27FC236}">
              <a16:creationId xmlns:a16="http://schemas.microsoft.com/office/drawing/2014/main" id="{00000000-0008-0000-0600-00001E000000}"/>
            </a:ext>
          </a:extLst>
        </xdr:cNvPr>
        <xdr:cNvSpPr txBox="1"/>
      </xdr:nvSpPr>
      <xdr:spPr>
        <a:xfrm>
          <a:off x="2449831" y="105485286"/>
          <a:ext cx="251460" cy="165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mc:AlternateContent xmlns:mc="http://schemas.openxmlformats.org/markup-compatibility/2006">
    <mc:Choice xmlns:a14="http://schemas.microsoft.com/office/drawing/2010/main" Requires="a14">
      <xdr:twoCellAnchor>
        <xdr:from>
          <xdr:col>3</xdr:col>
          <xdr:colOff>139700</xdr:colOff>
          <xdr:row>2</xdr:row>
          <xdr:rowOff>190500</xdr:rowOff>
        </xdr:from>
        <xdr:to>
          <xdr:col>4</xdr:col>
          <xdr:colOff>25400</xdr:colOff>
          <xdr:row>3</xdr:row>
          <xdr:rowOff>190500</xdr:rowOff>
        </xdr:to>
        <xdr:sp macro="" textlink="">
          <xdr:nvSpPr>
            <xdr:cNvPr id="115247" name="BtnProdReset" hidden="1">
              <a:extLst>
                <a:ext uri="{63B3BB69-23CF-44E3-9099-C40C66FF867C}">
                  <a14:compatExt spid="_x0000_s115247"/>
                </a:ext>
                <a:ext uri="{FF2B5EF4-FFF2-40B4-BE49-F238E27FC236}">
                  <a16:creationId xmlns:a16="http://schemas.microsoft.com/office/drawing/2014/main" id="{00000000-0008-0000-0600-00002FC2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Calibri" pitchFamily="2" charset="0"/>
                  <a:cs typeface="Calibri" pitchFamily="2" charset="0"/>
                </a:rPr>
                <a:t>Clear Prod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177800</xdr:colOff>
          <xdr:row>5</xdr:row>
          <xdr:rowOff>25400</xdr:rowOff>
        </xdr:from>
        <xdr:to>
          <xdr:col>12</xdr:col>
          <xdr:colOff>609600</xdr:colOff>
          <xdr:row>5</xdr:row>
          <xdr:rowOff>177800</xdr:rowOff>
        </xdr:to>
        <xdr:sp macro="" textlink="">
          <xdr:nvSpPr>
            <xdr:cNvPr id="142927" name="Option Button 7" hidden="1">
              <a:extLst>
                <a:ext uri="{63B3BB69-23CF-44E3-9099-C40C66FF867C}">
                  <a14:compatExt spid="_x0000_s142927"/>
                </a:ext>
                <a:ext uri="{FF2B5EF4-FFF2-40B4-BE49-F238E27FC236}">
                  <a16:creationId xmlns:a16="http://schemas.microsoft.com/office/drawing/2014/main" id="{00000000-0008-0000-0600-00004F2E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Oui</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635000</xdr:colOff>
          <xdr:row>5</xdr:row>
          <xdr:rowOff>25400</xdr:rowOff>
        </xdr:from>
        <xdr:to>
          <xdr:col>13</xdr:col>
          <xdr:colOff>292100</xdr:colOff>
          <xdr:row>5</xdr:row>
          <xdr:rowOff>177800</xdr:rowOff>
        </xdr:to>
        <xdr:sp macro="" textlink="">
          <xdr:nvSpPr>
            <xdr:cNvPr id="142928" name="Option Button 8" hidden="1">
              <a:extLst>
                <a:ext uri="{63B3BB69-23CF-44E3-9099-C40C66FF867C}">
                  <a14:compatExt spid="_x0000_s142928"/>
                </a:ext>
                <a:ext uri="{FF2B5EF4-FFF2-40B4-BE49-F238E27FC236}">
                  <a16:creationId xmlns:a16="http://schemas.microsoft.com/office/drawing/2014/main" id="{00000000-0008-0000-0600-0000502E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Non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48</xdr:col>
          <xdr:colOff>76200</xdr:colOff>
          <xdr:row>1</xdr:row>
          <xdr:rowOff>88900</xdr:rowOff>
        </xdr:from>
        <xdr:to>
          <xdr:col>50</xdr:col>
          <xdr:colOff>12700</xdr:colOff>
          <xdr:row>3</xdr:row>
          <xdr:rowOff>152400</xdr:rowOff>
        </xdr:to>
        <xdr:sp macro="" textlink="">
          <xdr:nvSpPr>
            <xdr:cNvPr id="143232" name="SHOWPROD" hidden="1">
              <a:extLst>
                <a:ext uri="{63B3BB69-23CF-44E3-9099-C40C66FF867C}">
                  <a14:compatExt spid="_x0000_s143232"/>
                </a:ext>
                <a:ext uri="{FF2B5EF4-FFF2-40B4-BE49-F238E27FC236}">
                  <a16:creationId xmlns:a16="http://schemas.microsoft.com/office/drawing/2014/main" id="{00000000-0008-0000-0600-0000802F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Calibri" pitchFamily="2" charset="0"/>
                  <a:cs typeface="Calibri" pitchFamily="2" charset="0"/>
                </a:rPr>
                <a:t>Show Prod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25400</xdr:colOff>
          <xdr:row>5</xdr:row>
          <xdr:rowOff>25400</xdr:rowOff>
        </xdr:from>
        <xdr:to>
          <xdr:col>13</xdr:col>
          <xdr:colOff>698500</xdr:colOff>
          <xdr:row>6</xdr:row>
          <xdr:rowOff>25400</xdr:rowOff>
        </xdr:to>
        <xdr:sp macro="" textlink="">
          <xdr:nvSpPr>
            <xdr:cNvPr id="143233" name="GroupBoxColisAssurer" hidden="1">
              <a:extLst>
                <a:ext uri="{63B3BB69-23CF-44E3-9099-C40C66FF867C}">
                  <a14:compatExt spid="_x0000_s143233"/>
                </a:ext>
                <a:ext uri="{FF2B5EF4-FFF2-40B4-BE49-F238E27FC236}">
                  <a16:creationId xmlns:a16="http://schemas.microsoft.com/office/drawing/2014/main" id="{00000000-0008-0000-0600-0000812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177800</xdr:colOff>
          <xdr:row>2</xdr:row>
          <xdr:rowOff>190500</xdr:rowOff>
        </xdr:from>
        <xdr:to>
          <xdr:col>5</xdr:col>
          <xdr:colOff>0</xdr:colOff>
          <xdr:row>3</xdr:row>
          <xdr:rowOff>190500</xdr:rowOff>
        </xdr:to>
        <xdr:sp macro="" textlink="">
          <xdr:nvSpPr>
            <xdr:cNvPr id="143234" name="BtnProdProd" hidden="1">
              <a:extLst>
                <a:ext uri="{63B3BB69-23CF-44E3-9099-C40C66FF867C}">
                  <a14:compatExt spid="_x0000_s143234"/>
                </a:ext>
                <a:ext uri="{FF2B5EF4-FFF2-40B4-BE49-F238E27FC236}">
                  <a16:creationId xmlns:a16="http://schemas.microsoft.com/office/drawing/2014/main" id="{00000000-0008-0000-0600-0000822F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Calibri" pitchFamily="2" charset="0"/>
                  <a:cs typeface="Calibri" pitchFamily="2" charset="0"/>
                </a:rPr>
                <a:t>Début Prod</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25400</xdr:colOff>
          <xdr:row>0</xdr:row>
          <xdr:rowOff>25400</xdr:rowOff>
        </xdr:from>
        <xdr:to>
          <xdr:col>5</xdr:col>
          <xdr:colOff>1092200</xdr:colOff>
          <xdr:row>0</xdr:row>
          <xdr:rowOff>228600</xdr:rowOff>
        </xdr:to>
        <xdr:sp macro="" textlink="">
          <xdr:nvSpPr>
            <xdr:cNvPr id="12384" name="CheckBoxDetails" hidden="1">
              <a:extLst>
                <a:ext uri="{63B3BB69-23CF-44E3-9099-C40C66FF867C}">
                  <a14:compatExt spid="_x0000_s12384"/>
                </a:ext>
                <a:ext uri="{FF2B5EF4-FFF2-40B4-BE49-F238E27FC236}">
                  <a16:creationId xmlns:a16="http://schemas.microsoft.com/office/drawing/2014/main" id="{00000000-0008-0000-0900-000060300000}"/>
                </a:ext>
              </a:extLst>
            </xdr:cNvPr>
            <xdr:cNvSpPr/>
          </xdr:nvSpPr>
          <xdr:spPr bwMode="auto">
            <a:xfrm>
              <a:off x="0" y="0"/>
              <a:ext cx="0" cy="0"/>
            </a:xfrm>
            <a:prstGeom prst="rect">
              <a:avLst/>
            </a:prstGeom>
            <a:noFill/>
            <a:ln>
              <a:noFill/>
            </a:ln>
            <a:extLst>
              <a:ext uri="{909E8E84-426E-40DD-AFC4-6F175D3DCCD1}">
                <a14:hiddenFill>
                  <a:solidFill>
                    <a:srgbClr val="FF0000"/>
                  </a:solidFill>
                </a14:hiddenFill>
              </a:ext>
              <a:ext uri="{91240B29-F687-4F45-9708-019B960494DF}">
                <a14:hiddenLine w="9525">
                  <a:solidFill>
                    <a:srgbClr val="FFFFFF"/>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xdr:twoCellAnchor>
    <xdr:from>
      <xdr:col>5</xdr:col>
      <xdr:colOff>283370</xdr:colOff>
      <xdr:row>0</xdr:row>
      <xdr:rowOff>0</xdr:rowOff>
    </xdr:from>
    <xdr:to>
      <xdr:col>5</xdr:col>
      <xdr:colOff>1143000</xdr:colOff>
      <xdr:row>0</xdr:row>
      <xdr:rowOff>195262</xdr:rowOff>
    </xdr:to>
    <xdr:sp macro="" textlink="" fLocksText="0">
      <xdr:nvSpPr>
        <xdr:cNvPr id="2" name="TextBox 1">
          <a:extLst>
            <a:ext uri="{FF2B5EF4-FFF2-40B4-BE49-F238E27FC236}">
              <a16:creationId xmlns:a16="http://schemas.microsoft.com/office/drawing/2014/main" id="{00000000-0008-0000-0700-000002000000}"/>
            </a:ext>
          </a:extLst>
        </xdr:cNvPr>
        <xdr:cNvSpPr txBox="1"/>
      </xdr:nvSpPr>
      <xdr:spPr>
        <a:xfrm>
          <a:off x="9522620" y="0"/>
          <a:ext cx="859630" cy="195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i="1" u="sng">
              <a:solidFill>
                <a:srgbClr val="C00000"/>
              </a:solidFill>
            </a:rPr>
            <a:t>Instructions</a:t>
          </a:r>
        </a:p>
      </xdr:txBody>
    </xdr:sp>
    <xdr:clientData/>
  </xdr:twoCellAnchor>
  <mc:AlternateContent xmlns:mc="http://schemas.openxmlformats.org/markup-compatibility/2006">
    <mc:Choice xmlns:a14="http://schemas.microsoft.com/office/drawing/2010/main" Requires="a14">
      <xdr:twoCellAnchor>
        <xdr:from>
          <xdr:col>6</xdr:col>
          <xdr:colOff>76200</xdr:colOff>
          <xdr:row>0</xdr:row>
          <xdr:rowOff>25400</xdr:rowOff>
        </xdr:from>
        <xdr:to>
          <xdr:col>6</xdr:col>
          <xdr:colOff>838200</xdr:colOff>
          <xdr:row>0</xdr:row>
          <xdr:rowOff>228600</xdr:rowOff>
        </xdr:to>
        <xdr:sp macro="" textlink="">
          <xdr:nvSpPr>
            <xdr:cNvPr id="12357" name="CheckBoxDetails" hidden="1">
              <a:extLst>
                <a:ext uri="{63B3BB69-23CF-44E3-9099-C40C66FF867C}">
                  <a14:compatExt spid="_x0000_s12357"/>
                </a:ext>
                <a:ext uri="{FF2B5EF4-FFF2-40B4-BE49-F238E27FC236}">
                  <a16:creationId xmlns:a16="http://schemas.microsoft.com/office/drawing/2014/main" id="{00000000-0008-0000-0900-00004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Descriptions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13</xdr:row>
          <xdr:rowOff>101600</xdr:rowOff>
        </xdr:from>
        <xdr:to>
          <xdr:col>2</xdr:col>
          <xdr:colOff>25400</xdr:colOff>
          <xdr:row>13</xdr:row>
          <xdr:rowOff>292100</xdr:rowOff>
        </xdr:to>
        <xdr:sp macro="" textlink="">
          <xdr:nvSpPr>
            <xdr:cNvPr id="12374" name="Drop Down 86" hidden="1">
              <a:extLst>
                <a:ext uri="{63B3BB69-23CF-44E3-9099-C40C66FF867C}">
                  <a14:compatExt spid="_x0000_s12374"/>
                </a:ext>
                <a:ext uri="{FF2B5EF4-FFF2-40B4-BE49-F238E27FC236}">
                  <a16:creationId xmlns:a16="http://schemas.microsoft.com/office/drawing/2014/main" id="{00000000-0008-0000-09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711200</xdr:colOff>
          <xdr:row>4</xdr:row>
          <xdr:rowOff>12700</xdr:rowOff>
        </xdr:from>
        <xdr:to>
          <xdr:col>4</xdr:col>
          <xdr:colOff>2108200</xdr:colOff>
          <xdr:row>5</xdr:row>
          <xdr:rowOff>12700</xdr:rowOff>
        </xdr:to>
        <xdr:sp macro="" textlink="">
          <xdr:nvSpPr>
            <xdr:cNvPr id="12380" name="DropDown_IndexClientVersion" hidden="1">
              <a:extLst>
                <a:ext uri="{63B3BB69-23CF-44E3-9099-C40C66FF867C}">
                  <a14:compatExt spid="_x0000_s12380"/>
                </a:ext>
                <a:ext uri="{FF2B5EF4-FFF2-40B4-BE49-F238E27FC236}">
                  <a16:creationId xmlns:a16="http://schemas.microsoft.com/office/drawing/2014/main" id="{00000000-0008-0000-09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114300</xdr:colOff>
          <xdr:row>8</xdr:row>
          <xdr:rowOff>12700</xdr:rowOff>
        </xdr:from>
        <xdr:to>
          <xdr:col>9</xdr:col>
          <xdr:colOff>863600</xdr:colOff>
          <xdr:row>8</xdr:row>
          <xdr:rowOff>215900</xdr:rowOff>
        </xdr:to>
        <xdr:sp macro="" textlink="">
          <xdr:nvSpPr>
            <xdr:cNvPr id="12383" name="Drop Down 95" hidden="1">
              <a:extLst>
                <a:ext uri="{63B3BB69-23CF-44E3-9099-C40C66FF867C}">
                  <a14:compatExt spid="_x0000_s12383"/>
                </a:ext>
                <a:ext uri="{FF2B5EF4-FFF2-40B4-BE49-F238E27FC236}">
                  <a16:creationId xmlns:a16="http://schemas.microsoft.com/office/drawing/2014/main" id="{00000000-0008-0000-09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24</xdr:row>
          <xdr:rowOff>25400</xdr:rowOff>
        </xdr:from>
        <xdr:to>
          <xdr:col>5</xdr:col>
          <xdr:colOff>749300</xdr:colOff>
          <xdr:row>24</xdr:row>
          <xdr:rowOff>177800</xdr:rowOff>
        </xdr:to>
        <xdr:sp macro="" textlink="">
          <xdr:nvSpPr>
            <xdr:cNvPr id="12388" name="Drop Down 100" hidden="1">
              <a:extLst>
                <a:ext uri="{63B3BB69-23CF-44E3-9099-C40C66FF867C}">
                  <a14:compatExt spid="_x0000_s12388"/>
                </a:ext>
                <a:ext uri="{FF2B5EF4-FFF2-40B4-BE49-F238E27FC236}">
                  <a16:creationId xmlns:a16="http://schemas.microsoft.com/office/drawing/2014/main" id="{00000000-0008-0000-09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23</xdr:row>
          <xdr:rowOff>25400</xdr:rowOff>
        </xdr:from>
        <xdr:to>
          <xdr:col>5</xdr:col>
          <xdr:colOff>749300</xdr:colOff>
          <xdr:row>23</xdr:row>
          <xdr:rowOff>177800</xdr:rowOff>
        </xdr:to>
        <xdr:sp macro="" textlink="">
          <xdr:nvSpPr>
            <xdr:cNvPr id="12387" name="Drop Down 99" hidden="1">
              <a:extLst>
                <a:ext uri="{63B3BB69-23CF-44E3-9099-C40C66FF867C}">
                  <a14:compatExt spid="_x0000_s12387"/>
                </a:ext>
                <a:ext uri="{FF2B5EF4-FFF2-40B4-BE49-F238E27FC236}">
                  <a16:creationId xmlns:a16="http://schemas.microsoft.com/office/drawing/2014/main" id="{00000000-0008-0000-09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xdr:row>
          <xdr:rowOff>215900</xdr:rowOff>
        </xdr:from>
        <xdr:to>
          <xdr:col>4</xdr:col>
          <xdr:colOff>3136900</xdr:colOff>
          <xdr:row>4</xdr:row>
          <xdr:rowOff>0</xdr:rowOff>
        </xdr:to>
        <xdr:sp macro="" textlink="">
          <xdr:nvSpPr>
            <xdr:cNvPr id="12394" name="Drop Down 106" hidden="1">
              <a:extLst>
                <a:ext uri="{63B3BB69-23CF-44E3-9099-C40C66FF867C}">
                  <a14:compatExt spid="_x0000_s12394"/>
                </a:ext>
                <a:ext uri="{FF2B5EF4-FFF2-40B4-BE49-F238E27FC236}">
                  <a16:creationId xmlns:a16="http://schemas.microsoft.com/office/drawing/2014/main" id="{00000000-0008-0000-09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101600</xdr:colOff>
          <xdr:row>13</xdr:row>
          <xdr:rowOff>355600</xdr:rowOff>
        </xdr:from>
        <xdr:to>
          <xdr:col>2</xdr:col>
          <xdr:colOff>749300</xdr:colOff>
          <xdr:row>15</xdr:row>
          <xdr:rowOff>25400</xdr:rowOff>
        </xdr:to>
        <xdr:sp macro="" textlink="">
          <xdr:nvSpPr>
            <xdr:cNvPr id="12397" name="ScannerCheckbox" hidden="1">
              <a:extLst>
                <a:ext uri="{63B3BB69-23CF-44E3-9099-C40C66FF867C}">
                  <a14:compatExt spid="_x0000_s12397"/>
                </a:ext>
                <a:ext uri="{FF2B5EF4-FFF2-40B4-BE49-F238E27FC236}">
                  <a16:creationId xmlns:a16="http://schemas.microsoft.com/office/drawing/2014/main" id="{00000000-0008-0000-0900-00006D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736600</xdr:colOff>
          <xdr:row>14</xdr:row>
          <xdr:rowOff>0</xdr:rowOff>
        </xdr:from>
        <xdr:to>
          <xdr:col>2</xdr:col>
          <xdr:colOff>2006600</xdr:colOff>
          <xdr:row>15</xdr:row>
          <xdr:rowOff>25400</xdr:rowOff>
        </xdr:to>
        <xdr:sp macro="" textlink="">
          <xdr:nvSpPr>
            <xdr:cNvPr id="12406" name="DropDown_IndexScanner" hidden="1">
              <a:extLst>
                <a:ext uri="{63B3BB69-23CF-44E3-9099-C40C66FF867C}">
                  <a14:compatExt spid="_x0000_s12406"/>
                </a:ext>
                <a:ext uri="{FF2B5EF4-FFF2-40B4-BE49-F238E27FC236}">
                  <a16:creationId xmlns:a16="http://schemas.microsoft.com/office/drawing/2014/main" id="{00000000-0008-0000-09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101600</xdr:colOff>
          <xdr:row>19</xdr:row>
          <xdr:rowOff>165100</xdr:rowOff>
        </xdr:from>
        <xdr:to>
          <xdr:col>2</xdr:col>
          <xdr:colOff>2870200</xdr:colOff>
          <xdr:row>21</xdr:row>
          <xdr:rowOff>25400</xdr:rowOff>
        </xdr:to>
        <xdr:sp macro="" textlink="">
          <xdr:nvSpPr>
            <xdr:cNvPr id="12407" name="PosiOrBlueBG_Checkbox" hidden="1">
              <a:extLst>
                <a:ext uri="{63B3BB69-23CF-44E3-9099-C40C66FF867C}">
                  <a14:compatExt spid="_x0000_s12407"/>
                </a:ext>
                <a:ext uri="{FF2B5EF4-FFF2-40B4-BE49-F238E27FC236}">
                  <a16:creationId xmlns:a16="http://schemas.microsoft.com/office/drawing/2014/main" id="{00000000-0008-0000-0900-00007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25</xdr:row>
          <xdr:rowOff>25400</xdr:rowOff>
        </xdr:from>
        <xdr:to>
          <xdr:col>5</xdr:col>
          <xdr:colOff>749300</xdr:colOff>
          <xdr:row>25</xdr:row>
          <xdr:rowOff>177800</xdr:rowOff>
        </xdr:to>
        <xdr:sp macro="" textlink="">
          <xdr:nvSpPr>
            <xdr:cNvPr id="12415" name="Drop Down 127" hidden="1">
              <a:extLst>
                <a:ext uri="{63B3BB69-23CF-44E3-9099-C40C66FF867C}">
                  <a14:compatExt spid="_x0000_s12415"/>
                </a:ext>
                <a:ext uri="{FF2B5EF4-FFF2-40B4-BE49-F238E27FC236}">
                  <a16:creationId xmlns:a16="http://schemas.microsoft.com/office/drawing/2014/main" id="{00000000-0008-0000-09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28</xdr:row>
          <xdr:rowOff>25400</xdr:rowOff>
        </xdr:from>
        <xdr:to>
          <xdr:col>5</xdr:col>
          <xdr:colOff>749300</xdr:colOff>
          <xdr:row>28</xdr:row>
          <xdr:rowOff>177800</xdr:rowOff>
        </xdr:to>
        <xdr:sp macro="" textlink="">
          <xdr:nvSpPr>
            <xdr:cNvPr id="12416" name="Drop Down 128" hidden="1">
              <a:extLst>
                <a:ext uri="{63B3BB69-23CF-44E3-9099-C40C66FF867C}">
                  <a14:compatExt spid="_x0000_s12416"/>
                </a:ext>
                <a:ext uri="{FF2B5EF4-FFF2-40B4-BE49-F238E27FC236}">
                  <a16:creationId xmlns:a16="http://schemas.microsoft.com/office/drawing/2014/main" id="{00000000-0008-0000-09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29</xdr:row>
          <xdr:rowOff>25400</xdr:rowOff>
        </xdr:from>
        <xdr:to>
          <xdr:col>5</xdr:col>
          <xdr:colOff>749300</xdr:colOff>
          <xdr:row>29</xdr:row>
          <xdr:rowOff>177800</xdr:rowOff>
        </xdr:to>
        <xdr:sp macro="" textlink="">
          <xdr:nvSpPr>
            <xdr:cNvPr id="12417" name="Drop Down 129" hidden="1">
              <a:extLst>
                <a:ext uri="{63B3BB69-23CF-44E3-9099-C40C66FF867C}">
                  <a14:compatExt spid="_x0000_s12417"/>
                </a:ext>
                <a:ext uri="{FF2B5EF4-FFF2-40B4-BE49-F238E27FC236}">
                  <a16:creationId xmlns:a16="http://schemas.microsoft.com/office/drawing/2014/main" id="{00000000-0008-0000-09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30</xdr:row>
          <xdr:rowOff>25400</xdr:rowOff>
        </xdr:from>
        <xdr:to>
          <xdr:col>5</xdr:col>
          <xdr:colOff>749300</xdr:colOff>
          <xdr:row>30</xdr:row>
          <xdr:rowOff>177800</xdr:rowOff>
        </xdr:to>
        <xdr:sp macro="" textlink="">
          <xdr:nvSpPr>
            <xdr:cNvPr id="12418" name="Drop Down 130" hidden="1">
              <a:extLst>
                <a:ext uri="{63B3BB69-23CF-44E3-9099-C40C66FF867C}">
                  <a14:compatExt spid="_x0000_s12418"/>
                </a:ext>
                <a:ext uri="{FF2B5EF4-FFF2-40B4-BE49-F238E27FC236}">
                  <a16:creationId xmlns:a16="http://schemas.microsoft.com/office/drawing/2014/main" id="{00000000-0008-0000-09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26</xdr:row>
          <xdr:rowOff>25400</xdr:rowOff>
        </xdr:from>
        <xdr:to>
          <xdr:col>5</xdr:col>
          <xdr:colOff>749300</xdr:colOff>
          <xdr:row>26</xdr:row>
          <xdr:rowOff>177800</xdr:rowOff>
        </xdr:to>
        <xdr:sp macro="" textlink="">
          <xdr:nvSpPr>
            <xdr:cNvPr id="12419" name="Drop Down 131" hidden="1">
              <a:extLst>
                <a:ext uri="{63B3BB69-23CF-44E3-9099-C40C66FF867C}">
                  <a14:compatExt spid="_x0000_s12419"/>
                </a:ext>
                <a:ext uri="{FF2B5EF4-FFF2-40B4-BE49-F238E27FC236}">
                  <a16:creationId xmlns:a16="http://schemas.microsoft.com/office/drawing/2014/main" id="{00000000-0008-0000-09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27</xdr:row>
          <xdr:rowOff>25400</xdr:rowOff>
        </xdr:from>
        <xdr:to>
          <xdr:col>5</xdr:col>
          <xdr:colOff>749300</xdr:colOff>
          <xdr:row>27</xdr:row>
          <xdr:rowOff>177800</xdr:rowOff>
        </xdr:to>
        <xdr:sp macro="" textlink="">
          <xdr:nvSpPr>
            <xdr:cNvPr id="12420" name="Drop Down 132" hidden="1">
              <a:extLst>
                <a:ext uri="{63B3BB69-23CF-44E3-9099-C40C66FF867C}">
                  <a14:compatExt spid="_x0000_s12420"/>
                </a:ext>
                <a:ext uri="{FF2B5EF4-FFF2-40B4-BE49-F238E27FC236}">
                  <a16:creationId xmlns:a16="http://schemas.microsoft.com/office/drawing/2014/main" id="{00000000-0008-0000-09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31</xdr:row>
          <xdr:rowOff>25400</xdr:rowOff>
        </xdr:from>
        <xdr:to>
          <xdr:col>5</xdr:col>
          <xdr:colOff>749300</xdr:colOff>
          <xdr:row>31</xdr:row>
          <xdr:rowOff>177800</xdr:rowOff>
        </xdr:to>
        <xdr:sp macro="" textlink="">
          <xdr:nvSpPr>
            <xdr:cNvPr id="12421" name="Drop Down 133" hidden="1">
              <a:extLst>
                <a:ext uri="{63B3BB69-23CF-44E3-9099-C40C66FF867C}">
                  <a14:compatExt spid="_x0000_s12421"/>
                </a:ext>
                <a:ext uri="{FF2B5EF4-FFF2-40B4-BE49-F238E27FC236}">
                  <a16:creationId xmlns:a16="http://schemas.microsoft.com/office/drawing/2014/main" id="{00000000-0008-0000-09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32</xdr:row>
          <xdr:rowOff>25400</xdr:rowOff>
        </xdr:from>
        <xdr:to>
          <xdr:col>5</xdr:col>
          <xdr:colOff>749300</xdr:colOff>
          <xdr:row>32</xdr:row>
          <xdr:rowOff>177800</xdr:rowOff>
        </xdr:to>
        <xdr:sp macro="" textlink="">
          <xdr:nvSpPr>
            <xdr:cNvPr id="12422" name="Drop Down 134" hidden="1">
              <a:extLst>
                <a:ext uri="{63B3BB69-23CF-44E3-9099-C40C66FF867C}">
                  <a14:compatExt spid="_x0000_s12422"/>
                </a:ext>
                <a:ext uri="{FF2B5EF4-FFF2-40B4-BE49-F238E27FC236}">
                  <a16:creationId xmlns:a16="http://schemas.microsoft.com/office/drawing/2014/main" id="{00000000-0008-0000-09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33</xdr:row>
          <xdr:rowOff>25400</xdr:rowOff>
        </xdr:from>
        <xdr:to>
          <xdr:col>5</xdr:col>
          <xdr:colOff>749300</xdr:colOff>
          <xdr:row>33</xdr:row>
          <xdr:rowOff>177800</xdr:rowOff>
        </xdr:to>
        <xdr:sp macro="" textlink="">
          <xdr:nvSpPr>
            <xdr:cNvPr id="12423" name="Drop Down 135" hidden="1">
              <a:extLst>
                <a:ext uri="{63B3BB69-23CF-44E3-9099-C40C66FF867C}">
                  <a14:compatExt spid="_x0000_s12423"/>
                </a:ext>
                <a:ext uri="{FF2B5EF4-FFF2-40B4-BE49-F238E27FC236}">
                  <a16:creationId xmlns:a16="http://schemas.microsoft.com/office/drawing/2014/main" id="{00000000-0008-0000-09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8</xdr:col>
      <xdr:colOff>39370</xdr:colOff>
      <xdr:row>28</xdr:row>
      <xdr:rowOff>138978</xdr:rowOff>
    </xdr:from>
    <xdr:to>
      <xdr:col>8</xdr:col>
      <xdr:colOff>1039102</xdr:colOff>
      <xdr:row>31</xdr:row>
      <xdr:rowOff>46075</xdr:rowOff>
    </xdr:to>
    <xdr:pic>
      <xdr:nvPicPr>
        <xdr:cNvPr id="7" name="Pictur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1"/>
        <a:stretch/>
      </xdr:blipFill>
      <xdr:spPr>
        <a:xfrm>
          <a:off x="12726670" y="6025428"/>
          <a:ext cx="999732" cy="507172"/>
        </a:xfrm>
        <a:prstGeom prst="rect">
          <a:avLst/>
        </a:prstGeom>
      </xdr:spPr>
    </xdr:pic>
    <xdr:clientData/>
  </xdr:twoCellAnchor>
  <mc:AlternateContent xmlns:mc="http://schemas.openxmlformats.org/markup-compatibility/2006">
    <mc:Choice xmlns:a14="http://schemas.microsoft.com/office/drawing/2010/main" Requires="a14">
      <xdr:twoCellAnchor>
        <xdr:from>
          <xdr:col>2</xdr:col>
          <xdr:colOff>139700</xdr:colOff>
          <xdr:row>4</xdr:row>
          <xdr:rowOff>12700</xdr:rowOff>
        </xdr:from>
        <xdr:to>
          <xdr:col>2</xdr:col>
          <xdr:colOff>2908300</xdr:colOff>
          <xdr:row>4</xdr:row>
          <xdr:rowOff>215900</xdr:rowOff>
        </xdr:to>
        <xdr:sp macro="" textlink="">
          <xdr:nvSpPr>
            <xdr:cNvPr id="12424" name="ChkB_UpgradeUpdate" hidden="1">
              <a:extLst>
                <a:ext uri="{63B3BB69-23CF-44E3-9099-C40C66FF867C}">
                  <a14:compatExt spid="_x0000_s12424"/>
                </a:ext>
                <a:ext uri="{FF2B5EF4-FFF2-40B4-BE49-F238E27FC236}">
                  <a16:creationId xmlns:a16="http://schemas.microsoft.com/office/drawing/2014/main" id="{00000000-0008-0000-0900-000088300000}"/>
                </a:ext>
              </a:extLst>
            </xdr:cNvPr>
            <xdr:cNvSpPr/>
          </xdr:nvSpPr>
          <xdr:spPr bwMode="auto">
            <a:xfrm>
              <a:off x="0" y="0"/>
              <a:ext cx="0" cy="0"/>
            </a:xfrm>
            <a:prstGeom prst="rect">
              <a:avLst/>
            </a:prstGeom>
            <a:noFill/>
            <a:ln>
              <a:noFill/>
            </a:ln>
            <a:extLst>
              <a:ext uri="{909E8E84-426E-40DD-AFC4-6F175D3DCCD1}">
                <a14:hiddenFill>
                  <a:solidFill>
                    <a:srgbClr val="FF0000"/>
                  </a:solidFill>
                </a14:hiddenFill>
              </a:ext>
              <a:ext uri="{91240B29-F687-4F45-9708-019B960494DF}">
                <a14:hiddenLine w="9525">
                  <a:solidFill>
                    <a:srgbClr val="FFFFFF"/>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25400</xdr:rowOff>
        </xdr:from>
        <xdr:to>
          <xdr:col>2</xdr:col>
          <xdr:colOff>25400</xdr:colOff>
          <xdr:row>3</xdr:row>
          <xdr:rowOff>215900</xdr:rowOff>
        </xdr:to>
        <xdr:sp macro="" textlink="">
          <xdr:nvSpPr>
            <xdr:cNvPr id="12427" name="DropDown_N_SoftwareOrUpg" hidden="1">
              <a:extLst>
                <a:ext uri="{63B3BB69-23CF-44E3-9099-C40C66FF867C}">
                  <a14:compatExt spid="_x0000_s12427"/>
                </a:ext>
                <a:ext uri="{FF2B5EF4-FFF2-40B4-BE49-F238E27FC236}">
                  <a16:creationId xmlns:a16="http://schemas.microsoft.com/office/drawing/2014/main" id="{00000000-0008-0000-09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8</xdr:col>
      <xdr:colOff>12700</xdr:colOff>
      <xdr:row>23</xdr:row>
      <xdr:rowOff>92075</xdr:rowOff>
    </xdr:from>
    <xdr:to>
      <xdr:col>9</xdr:col>
      <xdr:colOff>4536</xdr:colOff>
      <xdr:row>26</xdr:row>
      <xdr:rowOff>174377</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rotWithShape="1">
        <a:blip xmlns:r="http://schemas.openxmlformats.org/officeDocument/2006/relationships" r:embed="rId2"/>
        <a:srcRect l="5072" r="5267"/>
        <a:stretch/>
      </xdr:blipFill>
      <xdr:spPr>
        <a:xfrm flipH="1">
          <a:off x="12700000" y="4978400"/>
          <a:ext cx="1077686" cy="68237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25400</xdr:colOff>
          <xdr:row>0</xdr:row>
          <xdr:rowOff>25400</xdr:rowOff>
        </xdr:from>
        <xdr:to>
          <xdr:col>5</xdr:col>
          <xdr:colOff>1092200</xdr:colOff>
          <xdr:row>0</xdr:row>
          <xdr:rowOff>228600</xdr:rowOff>
        </xdr:to>
        <xdr:sp macro="" textlink="">
          <xdr:nvSpPr>
            <xdr:cNvPr id="68609" name="CheckBoxDetails" hidden="1">
              <a:extLst>
                <a:ext uri="{63B3BB69-23CF-44E3-9099-C40C66FF867C}">
                  <a14:compatExt spid="_x0000_s68609"/>
                </a:ext>
                <a:ext uri="{FF2B5EF4-FFF2-40B4-BE49-F238E27FC236}">
                  <a16:creationId xmlns:a16="http://schemas.microsoft.com/office/drawing/2014/main" id="{00000000-0008-0000-0A00-0000010C0100}"/>
                </a:ext>
              </a:extLst>
            </xdr:cNvPr>
            <xdr:cNvSpPr/>
          </xdr:nvSpPr>
          <xdr:spPr bwMode="auto">
            <a:xfrm>
              <a:off x="0" y="0"/>
              <a:ext cx="0" cy="0"/>
            </a:xfrm>
            <a:prstGeom prst="rect">
              <a:avLst/>
            </a:prstGeom>
            <a:noFill/>
            <a:ln>
              <a:noFill/>
            </a:ln>
            <a:extLst>
              <a:ext uri="{909E8E84-426E-40DD-AFC4-6F175D3DCCD1}">
                <a14:hiddenFill>
                  <a:solidFill>
                    <a:srgbClr val="FF0000"/>
                  </a:solidFill>
                </a14:hiddenFill>
              </a:ext>
              <a:ext uri="{91240B29-F687-4F45-9708-019B960494DF}">
                <a14:hiddenLine w="9525">
                  <a:solidFill>
                    <a:srgbClr val="FFFFFF"/>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xdr:twoCellAnchor>
    <xdr:from>
      <xdr:col>5</xdr:col>
      <xdr:colOff>283370</xdr:colOff>
      <xdr:row>0</xdr:row>
      <xdr:rowOff>0</xdr:rowOff>
    </xdr:from>
    <xdr:to>
      <xdr:col>5</xdr:col>
      <xdr:colOff>1143000</xdr:colOff>
      <xdr:row>0</xdr:row>
      <xdr:rowOff>195262</xdr:rowOff>
    </xdr:to>
    <xdr:sp macro="" textlink="" fLocksText="0">
      <xdr:nvSpPr>
        <xdr:cNvPr id="3" name="TextBox 2">
          <a:extLst>
            <a:ext uri="{FF2B5EF4-FFF2-40B4-BE49-F238E27FC236}">
              <a16:creationId xmlns:a16="http://schemas.microsoft.com/office/drawing/2014/main" id="{00000000-0008-0000-0800-000003000000}"/>
            </a:ext>
          </a:extLst>
        </xdr:cNvPr>
        <xdr:cNvSpPr txBox="1"/>
      </xdr:nvSpPr>
      <xdr:spPr>
        <a:xfrm>
          <a:off x="9522620" y="0"/>
          <a:ext cx="802480" cy="195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i="1" u="sng">
              <a:solidFill>
                <a:srgbClr val="C00000"/>
              </a:solidFill>
            </a:rPr>
            <a:t>Instructions</a:t>
          </a:r>
        </a:p>
      </xdr:txBody>
    </xdr:sp>
    <xdr:clientData/>
  </xdr:twoCellAnchor>
  <mc:AlternateContent xmlns:mc="http://schemas.openxmlformats.org/markup-compatibility/2006">
    <mc:Choice xmlns:a14="http://schemas.microsoft.com/office/drawing/2010/main" Requires="a14">
      <xdr:twoCellAnchor editAs="oneCell">
        <xdr:from>
          <xdr:col>4</xdr:col>
          <xdr:colOff>76200</xdr:colOff>
          <xdr:row>2</xdr:row>
          <xdr:rowOff>215900</xdr:rowOff>
        </xdr:from>
        <xdr:to>
          <xdr:col>4</xdr:col>
          <xdr:colOff>3136900</xdr:colOff>
          <xdr:row>4</xdr:row>
          <xdr:rowOff>12700</xdr:rowOff>
        </xdr:to>
        <xdr:sp macro="" textlink="">
          <xdr:nvSpPr>
            <xdr:cNvPr id="68612" name="Drop Down 4" hidden="1">
              <a:extLst>
                <a:ext uri="{63B3BB69-23CF-44E3-9099-C40C66FF867C}">
                  <a14:compatExt spid="_x0000_s68612"/>
                </a:ext>
                <a:ext uri="{FF2B5EF4-FFF2-40B4-BE49-F238E27FC236}">
                  <a16:creationId xmlns:a16="http://schemas.microsoft.com/office/drawing/2014/main" id="{00000000-0008-0000-0A00-000004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76200</xdr:colOff>
          <xdr:row>4</xdr:row>
          <xdr:rowOff>0</xdr:rowOff>
        </xdr:from>
        <xdr:to>
          <xdr:col>4</xdr:col>
          <xdr:colOff>1473200</xdr:colOff>
          <xdr:row>5</xdr:row>
          <xdr:rowOff>0</xdr:rowOff>
        </xdr:to>
        <xdr:sp macro="" textlink="">
          <xdr:nvSpPr>
            <xdr:cNvPr id="68616" name="DropDown_IndexClientVersion" hidden="1">
              <a:extLst>
                <a:ext uri="{63B3BB69-23CF-44E3-9099-C40C66FF867C}">
                  <a14:compatExt spid="_x0000_s68616"/>
                </a:ext>
                <a:ext uri="{FF2B5EF4-FFF2-40B4-BE49-F238E27FC236}">
                  <a16:creationId xmlns:a16="http://schemas.microsoft.com/office/drawing/2014/main" id="{00000000-0008-0000-0A00-000008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25400</xdr:rowOff>
        </xdr:from>
        <xdr:to>
          <xdr:col>2</xdr:col>
          <xdr:colOff>25400</xdr:colOff>
          <xdr:row>3</xdr:row>
          <xdr:rowOff>215900</xdr:rowOff>
        </xdr:to>
        <xdr:sp macro="" textlink="">
          <xdr:nvSpPr>
            <xdr:cNvPr id="68619" name="DropDown_N_SoftwareOrUpg" hidden="1">
              <a:extLst>
                <a:ext uri="{63B3BB69-23CF-44E3-9099-C40C66FF867C}">
                  <a14:compatExt spid="_x0000_s68619"/>
                </a:ext>
                <a:ext uri="{FF2B5EF4-FFF2-40B4-BE49-F238E27FC236}">
                  <a16:creationId xmlns:a16="http://schemas.microsoft.com/office/drawing/2014/main" id="{00000000-0008-0000-0A00-00000B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4</xdr:row>
          <xdr:rowOff>12700</xdr:rowOff>
        </xdr:from>
        <xdr:to>
          <xdr:col>2</xdr:col>
          <xdr:colOff>2971800</xdr:colOff>
          <xdr:row>4</xdr:row>
          <xdr:rowOff>215900</xdr:rowOff>
        </xdr:to>
        <xdr:sp macro="" textlink="">
          <xdr:nvSpPr>
            <xdr:cNvPr id="68620" name="ChkB_UpgradeUpdate" hidden="1">
              <a:extLst>
                <a:ext uri="{63B3BB69-23CF-44E3-9099-C40C66FF867C}">
                  <a14:compatExt spid="_x0000_s68620"/>
                </a:ext>
                <a:ext uri="{FF2B5EF4-FFF2-40B4-BE49-F238E27FC236}">
                  <a16:creationId xmlns:a16="http://schemas.microsoft.com/office/drawing/2014/main" id="{00000000-0008-0000-0A00-00000C0C0100}"/>
                </a:ext>
              </a:extLst>
            </xdr:cNvPr>
            <xdr:cNvSpPr/>
          </xdr:nvSpPr>
          <xdr:spPr bwMode="auto">
            <a:xfrm>
              <a:off x="0" y="0"/>
              <a:ext cx="0" cy="0"/>
            </a:xfrm>
            <a:prstGeom prst="rect">
              <a:avLst/>
            </a:prstGeom>
            <a:noFill/>
            <a:ln>
              <a:noFill/>
            </a:ln>
            <a:extLst>
              <a:ext uri="{909E8E84-426E-40DD-AFC4-6F175D3DCCD1}">
                <a14:hiddenFill>
                  <a:solidFill>
                    <a:srgbClr val="FF0000"/>
                  </a:solidFill>
                </a14:hiddenFill>
              </a:ext>
              <a:ext uri="{91240B29-F687-4F45-9708-019B960494DF}">
                <a14:hiddenLine w="9525">
                  <a:solidFill>
                    <a:srgbClr val="FFFFFF"/>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114300</xdr:colOff>
          <xdr:row>8</xdr:row>
          <xdr:rowOff>0</xdr:rowOff>
        </xdr:from>
        <xdr:to>
          <xdr:col>9</xdr:col>
          <xdr:colOff>863600</xdr:colOff>
          <xdr:row>8</xdr:row>
          <xdr:rowOff>215900</xdr:rowOff>
        </xdr:to>
        <xdr:sp macro="" textlink="">
          <xdr:nvSpPr>
            <xdr:cNvPr id="68621" name="Drop Down 13" hidden="1">
              <a:extLst>
                <a:ext uri="{63B3BB69-23CF-44E3-9099-C40C66FF867C}">
                  <a14:compatExt spid="_x0000_s68621"/>
                </a:ext>
                <a:ext uri="{FF2B5EF4-FFF2-40B4-BE49-F238E27FC236}">
                  <a16:creationId xmlns:a16="http://schemas.microsoft.com/office/drawing/2014/main" id="{00000000-0008-0000-0A00-00000D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ClientButtons" displayName="TableClientButtons" ref="B3:P86" totalsRowShown="0" headerRowDxfId="275" dataDxfId="274">
  <autoFilter ref="B3:P86" xr:uid="{00000000-0009-0000-0100-000001000000}"/>
  <tableColumns count="15">
    <tableColumn id="1" xr3:uid="{00000000-0010-0000-0000-000001000000}" name="Column1" dataDxfId="273"/>
    <tableColumn id="2" xr3:uid="{00000000-0010-0000-0000-000002000000}" name="Column2" dataDxfId="272"/>
    <tableColumn id="3" xr3:uid="{00000000-0010-0000-0000-000003000000}" name="Column3" dataDxfId="271"/>
    <tableColumn id="4" xr3:uid="{00000000-0010-0000-0000-000004000000}" name="Column4" dataDxfId="270"/>
    <tableColumn id="5" xr3:uid="{00000000-0010-0000-0000-000005000000}" name="Column5" dataDxfId="269"/>
    <tableColumn id="6" xr3:uid="{00000000-0010-0000-0000-000006000000}" name="Column6" dataDxfId="268"/>
    <tableColumn id="7" xr3:uid="{00000000-0010-0000-0000-000007000000}" name="Column7" dataDxfId="267"/>
    <tableColumn id="8" xr3:uid="{00000000-0010-0000-0000-000008000000}" name="Column8" dataDxfId="266"/>
    <tableColumn id="9" xr3:uid="{00000000-0010-0000-0000-000009000000}" name="Column9" dataDxfId="265"/>
    <tableColumn id="10" xr3:uid="{00000000-0010-0000-0000-00000A000000}" name="Column10" dataDxfId="264"/>
    <tableColumn id="11" xr3:uid="{00000000-0010-0000-0000-00000B000000}" name="Column11" dataDxfId="263"/>
    <tableColumn id="12" xr3:uid="{73D29D78-95F5-4804-B192-F4218E187470}" name="Column12" dataDxfId="262"/>
    <tableColumn id="13" xr3:uid="{A88F94D4-88CA-43DC-80DE-C8C86B0F22A8}" name="Column13" dataDxfId="261"/>
    <tableColumn id="14" xr3:uid="{AF380189-FAB3-4054-8941-1686EFD4A980}" name="Column14" dataDxfId="260"/>
    <tableColumn id="15" xr3:uid="{039CD6A4-B94D-4725-9456-2B03AF09C996}" name="Column15" dataDxfId="259"/>
  </tableColumns>
  <tableStyleInfo name="TableStyleMedium8"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5708485-8C1A-41FE-8685-61318C86601A}" name="TableQCalcComInv" displayName="TableQCalcComInv" ref="B170:U179" totalsRowShown="0">
  <autoFilter ref="B170:U179" xr:uid="{05708485-8C1A-41FE-8685-61318C86601A}"/>
  <tableColumns count="20">
    <tableColumn id="1" xr3:uid="{F3870F35-916D-44D3-AF41-AE27BF1319CE}" name="Variable / Product ID"/>
    <tableColumn id="2" xr3:uid="{63EDD7FA-A912-4325-BE39-B2EB9ECE99CE}" name="Real Quantity"/>
    <tableColumn id="3" xr3:uid="{4A92471D-81AF-4F26-9EBB-4A6EC4092682}" name="ShowDesc?">
      <calculatedColumnFormula>C171</calculatedColumnFormula>
    </tableColumn>
    <tableColumn id="4" xr3:uid="{A24EA3A9-5E85-4E21-BBCD-3EC83CF91869}" name="Software"/>
    <tableColumn id="5" xr3:uid="{A14BFA31-C0AA-4402-A96F-CD12F02C6D1D}" name="Hardware"/>
    <tableColumn id="6" xr3:uid="{B11DA560-AD66-4075-ACB9-3E662F23C573}" name="ShowSoft"/>
    <tableColumn id="7" xr3:uid="{3524BFF0-C902-4F8C-83A2-01E5BBC80A3A}" name="ShowHard"/>
    <tableColumn id="8" xr3:uid="{2D3DE27D-99FC-4363-A35C-F5E6E727EF32}" name="Description"/>
    <tableColumn id="9" xr3:uid="{64FB557B-3E19-4B2D-A83D-BB5DF7BAF776}" name="Harmonized Code">
      <calculatedColumnFormula>J170</calculatedColumnFormula>
    </tableColumn>
    <tableColumn id="10" xr3:uid="{942B10AF-C833-41F6-B602-9CF75B46A26C}" name="Detailed Ext Price" dataDxfId="163">
      <calculatedColumnFormula>TableQCalcComInv[[#This Row],[Extended price]]</calculatedColumnFormula>
    </tableColumn>
    <tableColumn id="11" xr3:uid="{18CD2B2F-EB83-44E9-9152-790643AC38A5}" name="Unit Price" dataDxfId="162">
      <calculatedColumnFormula>TableQCalcComInv[[#This Row],[Extended price]]</calculatedColumnFormula>
    </tableColumn>
    <tableColumn id="12" xr3:uid="{C6B464C2-68E5-47A2-9FD5-B8DBB1B9C718}" name="Extended price" dataDxfId="161">
      <calculatedColumnFormula>IF(Distributeurs_Rabais,
SUM(WinRHIZO!#REF!,WinRHIZOTron!#REF!, WinSEEDLE!#REF!, WinFOLIA!#REF!, WinCAM!#REF!,WinDENDRO!#REF!,WinCELL!#REF!, WinSCANOPY!#REF!),
SUM(WinRHIZO!H39,WinRHIZOTron!H13, WinSEEDLE!H39, WinFOLIA!H30, WinCAM!H30,WinDENDRO!H31,WinCELL!H13, WinSCANOPY!H27)
)</calculatedColumnFormula>
    </tableColumn>
    <tableColumn id="13" xr3:uid="{2F65F841-76E4-4A5D-B744-7323608C13E2}" name="Array formula description" dataDxfId="160">
      <calculatedColumnFormula array="1">IFERROR(
INDEX(TableQCalcComInv[Description],MATCH(0,COUNTIF(N2:$N$2,TableQCalcComInv[Description])+IF(TableQCalcComInv[ShowDesc?]=0,1,0),0)),"")</calculatedColumnFormula>
    </tableColumn>
    <tableColumn id="14" xr3:uid="{D5AE510B-3CED-4AC5-83DC-8200C49DE6F0}" name="Array Formula Code" dataDxfId="159">
      <calculatedColumnFormula>IF(
IFERROR(OFFSET(INDEX(TableQCalcComInv[Description],MATCH(0,COUNTIF(N170:$N$170,TableQCalcComInv[[#This Row],[Description]])+IF(TableQCalcComInv[[#This Row],[ShowDesc?]]=0,1,0),0)),0,1),"")&lt;&gt;0,
IFERROR(OFFSET(INDEX(TableQCalcComInv[Description],MATCH(0,COUNTIF(N170:$N$170,TableQCalcComInv[[#This Row],[Description]])+IF(TableQCalcComInv[[#This Row],[ShowDesc?]]=0,1,0),0)),0,1),""),
"")</calculatedColumnFormula>
    </tableColumn>
    <tableColumn id="15" xr3:uid="{9B0C93AE-F2B6-4868-BCC9-A7481E7B76F3}" name="ArrayF DetailedPrice" dataDxfId="158">
      <calculatedColumnFormula>IF(
IFERROR(OFFSET(INDEX(TableQCalcComInv[Description],MATCH(0,COUNTIF(N170:$N$170,TableQCalcComInv[[#This Row],[Description]])+IF(TableQCalcComInv[[#This Row],[ShowDesc?]]=0,1,0),0)),0,1),"")&lt;&gt;0,
IFERROR(OFFSET(INDEX(TableQCalcComInv[Description],MATCH(0,COUNTIF(N170:$N$170,TableQCalcComInv[[#This Row],[Description]])+IF(TableQCalcComInv[[#This Row],[ShowDesc?]]=0,1,0),0)),0,1),""),
"")</calculatedColumnFormula>
    </tableColumn>
    <tableColumn id="16" xr3:uid="{8384CA27-7C2F-4B47-BF97-4EE4C435D57E}" name="Array formula Qty" dataDxfId="157">
      <calculatedColumnFormula array="1">IFERROR(
OFFSET(INDEX(TableQCalcComInv[Description],MATCH(0,COUNTIF(N170:$N$170,TableQCalcComInv[Description])+IF(TableQCalcComInv[ShowDesc?]=0,1,0),0)),0,COLUMN(TableQCalcComInv[[#This Row],[Real Quantity]])-COLUMN(TableQCalcComInv[[#This Row],[Description]])),"")</calculatedColumnFormula>
    </tableColumn>
    <tableColumn id="17" xr3:uid="{F317EC7F-3E14-4B91-9D69-FD82C06E0DCB}" name="Array formula Unit Price" dataDxfId="156">
      <calculatedColumnFormula array="1">IF(
IFERROR(OFFSET(INDEX(TableQCalcComInv[Description],MATCH(0,COUNTIF(N170:$N$170,TableQCalcComInv[Description])+IF(TableQCalcComInv[ShowDesc?]=0,1,0),0)),0,3),"")&lt;&gt;0,
IFERROR(OFFSET(INDEX(TableQCalcComInv[Description],MATCH(0,COUNTIF(N170:$N$170,TableQCalcComInv[Description])+IF(TableQCalcComInv[ShowDesc?]=0,1,0),0)),0,3),""),
"")</calculatedColumnFormula>
    </tableColumn>
    <tableColumn id="18" xr3:uid="{E56892D7-D2AA-47CB-B8D6-ED63078E9688}" name="Array formula Ext Price" dataDxfId="155">
      <calculatedColumnFormula array="1">IF(
IFERROR(OFFSET(INDEX(TableQCalcComInv[Description],MATCH(0,COUNTIF(N170:$N$170,TableQCalcComInv[Description])+IF(TableQCalcComInv[ShowDesc?]=0,1,0),0)),0,4),"")&lt;&gt;0,
IFERROR(OFFSET(INDEX(TableQCalcComInv[Description],MATCH(0,COUNTIF(N170:$N$170,TableQCalcComInv[Description])+IF(TableQCalcComInv[ShowDesc?]=0,1,0),0)),0,4),""),
"")</calculatedColumnFormula>
    </tableColumn>
    <tableColumn id="19" xr3:uid="{38FC2A81-771E-451E-B27A-6AC7D5FDF22D}" name="RowNumOfShownItems_COM" dataDxfId="154"/>
    <tableColumn id="20" xr3:uid="{0600B922-5D4B-4F48-9A8C-4A1B332DCEF9}" name="HowManyHardwareBought" dataDxfId="153"/>
  </tableColumns>
  <tableStyleInfo name="TableStyleDark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Lists" displayName="TableLists" ref="B176:V197" totalsRowShown="0" headerRowDxfId="258" dataDxfId="257">
  <autoFilter ref="B176:V197" xr:uid="{00000000-0009-0000-0100-00000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00000000-0010-0000-0100-000001000000}" name="Column1" dataDxfId="256"/>
    <tableColumn id="2" xr3:uid="{00000000-0010-0000-0100-000002000000}" name="Column2" dataDxfId="255"/>
    <tableColumn id="3" xr3:uid="{00000000-0010-0000-0100-000003000000}" name="Column3" dataDxfId="254"/>
    <tableColumn id="4" xr3:uid="{00000000-0010-0000-0100-000004000000}" name="Column4" dataDxfId="253"/>
    <tableColumn id="6" xr3:uid="{00000000-0010-0000-0100-000006000000}" name="Column5" dataDxfId="252"/>
    <tableColumn id="7" xr3:uid="{00000000-0010-0000-0100-000007000000}" name="Column6" dataDxfId="251"/>
    <tableColumn id="8" xr3:uid="{00000000-0010-0000-0100-000008000000}" name="Column7" dataDxfId="250"/>
    <tableColumn id="10" xr3:uid="{00000000-0010-0000-0100-00000A000000}" name="Column8" dataDxfId="249"/>
    <tableColumn id="14" xr3:uid="{00000000-0010-0000-0100-00000E000000}" name="Column9" dataDxfId="248"/>
    <tableColumn id="5" xr3:uid="{00000000-0010-0000-0100-000005000000}" name="Column10" dataDxfId="247"/>
    <tableColumn id="21" xr3:uid="{00000000-0010-0000-0100-000015000000}" name="Column11" dataDxfId="246"/>
    <tableColumn id="18" xr3:uid="{416F90B7-4EE3-46EB-8087-6F90FFF3FF32}" name="Column12" dataDxfId="245"/>
    <tableColumn id="9" xr3:uid="{00000000-0010-0000-0100-000009000000}" name="Column13" dataDxfId="244"/>
    <tableColumn id="11" xr3:uid="{00000000-0010-0000-0100-00000B000000}" name="Column14" dataDxfId="243"/>
    <tableColumn id="12" xr3:uid="{00000000-0010-0000-0100-00000C000000}" name="Column15" dataDxfId="242"/>
    <tableColumn id="13" xr3:uid="{00000000-0010-0000-0100-00000D000000}" name="Column16" dataDxfId="241"/>
    <tableColumn id="15" xr3:uid="{00000000-0010-0000-0100-00000F000000}" name="Column17" dataDxfId="240"/>
    <tableColumn id="16" xr3:uid="{00000000-0010-0000-0100-000010000000}" name="Column18" dataDxfId="239"/>
    <tableColumn id="17" xr3:uid="{00000000-0010-0000-0100-000011000000}" name="Column19" dataDxfId="238"/>
    <tableColumn id="19" xr3:uid="{2D989DAF-2040-46A4-BDDC-ACE2D1B1FA7B}" name="Column20" dataDxfId="237"/>
    <tableColumn id="20" xr3:uid="{16DBB076-8259-4F54-A024-D4D34C4F070D}" name="Column21" dataDxfId="236"/>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DiscountMisc" displayName="TableDiscountMisc" ref="B89:C166" headerRowDxfId="235" dataDxfId="234" totalsRowDxfId="233">
  <autoFilter ref="B89:C166" xr:uid="{00000000-0009-0000-0100-000002000000}">
    <filterColumn colId="0" hiddenButton="1"/>
    <filterColumn colId="1" hiddenButton="1"/>
  </autoFilter>
  <tableColumns count="2">
    <tableColumn id="1" xr3:uid="{00000000-0010-0000-0200-000001000000}" name="Column1" totalsRowLabel="Noms des logiciels à ajouter dans le filename" dataDxfId="232" totalsRowDxfId="231"/>
    <tableColumn id="2" xr3:uid="{00000000-0010-0000-0200-000002000000}" name="Column2" totalsRowFunction="custom" dataDxfId="230" totalsRowDxfId="229">
      <totalsRowFormula>IF(
AND(Checkbox_WinDENDRO,Checkbox_WinCELL,Checkbox_WinRHIZO,Checkbox_WinRHIZOTron,Checkbox_WinFOLIA,Checkbox_WinSEEDLE,Checkbox_WinCAM,Checkbox_WinSCANOPY,OptionButton_Suites),"All",
IF(Checkbox_WinDENDRO,"Den","")&amp;
IF(Checkbox_WinCELL,"Cel","")&amp;
IF(Checkbox_WinRHIZO,"Riz","")&amp;
IF(Checkbox_WinRHIZOTron,"Tro","")&amp;
IF(Checkbox_WinFOLIA,"Fol","")&amp;
IF(Checkbox_WinSEEDLE,"See","")&amp;
IF(Checkbox_WinCAM,"Cam","")&amp;
IF(Checkbox_WinSCANOPY,"Opy","")&amp;
IF(OptionButton_Suites,"Suite",""))</totalsRowFormula>
    </tableColumn>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UpdateUpgrade" displayName="TableUpdateUpgrade" ref="B199:C203" totalsRowShown="0">
  <autoFilter ref="B199:C203" xr:uid="{00000000-0009-0000-0100-000006000000}">
    <filterColumn colId="0" hiddenButton="1"/>
    <filterColumn colId="1" hiddenButton="1"/>
  </autoFilter>
  <tableColumns count="2">
    <tableColumn id="1" xr3:uid="{00000000-0010-0000-0400-000001000000}" name="Column1" dataDxfId="228"/>
    <tableColumn id="2" xr3:uid="{00000000-0010-0000-0400-000002000000}" name="Column2"/>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8425DB0-D600-4AB1-B0C3-065E9647756D}" name="TableDatePicker" displayName="TableDatePicker" ref="G89:R120" totalsRowShown="0" headerRowDxfId="227" dataDxfId="226">
  <autoFilter ref="G89:R120" xr:uid="{58425DB0-D600-4AB1-B0C3-065E9647756D}"/>
  <tableColumns count="12">
    <tableColumn id="1" xr3:uid="{382A5B07-914F-4C5B-ACA4-63B1B46B3FBE}" name="1" dataDxfId="225"/>
    <tableColumn id="2" xr3:uid="{0DED3E30-C370-40F9-90E8-4FF4BE64BE20}" name="2" dataDxfId="224"/>
    <tableColumn id="3" xr3:uid="{D129C45D-355B-4ED7-BC67-DFF0FB078109}" name="3" dataDxfId="223"/>
    <tableColumn id="4" xr3:uid="{318DB3D1-E5E2-4D16-89D7-2471514960AD}" name="4" dataDxfId="222"/>
    <tableColumn id="5" xr3:uid="{B08A8E04-52CC-4688-A35E-4F2F3AF647A5}" name="5" dataDxfId="221"/>
    <tableColumn id="6" xr3:uid="{71849AC0-2FD4-47C2-B345-901C8F3658C6}" name="6" dataDxfId="220"/>
    <tableColumn id="7" xr3:uid="{7B4EC30C-4632-4103-85F7-46E657FE38B4}" name="7" dataDxfId="219"/>
    <tableColumn id="8" xr3:uid="{E8786632-6277-499B-86C1-4C13DEEF7FAB}" name="8" dataDxfId="218"/>
    <tableColumn id="9" xr3:uid="{0ECFC58E-416C-4291-AE80-D49C943B3D21}" name="9" dataDxfId="217"/>
    <tableColumn id="10" xr3:uid="{A1E1189C-3B2F-4556-A36D-7DB440A24BFA}" name="10" dataDxfId="216"/>
    <tableColumn id="11" xr3:uid="{4AB2A26D-3E1A-4F42-B91B-6ABCA4B6FF6E}" name="11" dataDxfId="215"/>
    <tableColumn id="12" xr3:uid="{98FD09B2-C365-4017-A758-D1BC9445B5A1}" name="12" dataDxfId="214"/>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799C440E-F3D1-40BD-84D0-7B5E3784D028}" name="TablePays" displayName="TablePays" ref="B217:F423" totalsRowShown="0" headerRowDxfId="213" dataDxfId="212">
  <autoFilter ref="B217:F423" xr:uid="{799C440E-F3D1-40BD-84D0-7B5E3784D028}"/>
  <sortState xmlns:xlrd2="http://schemas.microsoft.com/office/spreadsheetml/2017/richdata2" ref="B218:F423">
    <sortCondition ref="B217:B423"/>
  </sortState>
  <tableColumns count="5">
    <tableColumn id="1" xr3:uid="{815FF3CA-9A9E-4A7F-B37C-B24B76517769}" name="Country_Names" dataDxfId="211"/>
    <tableColumn id="2" xr3:uid="{0CF2872A-3EF8-4ECE-A2A2-D84B0DC5A0E4}" name="Country_Index" dataDxfId="210"/>
    <tableColumn id="3" xr3:uid="{A17EB3AD-63F8-43CF-9C80-9EA26EFA87B6}" name="Continent" dataDxfId="209"/>
    <tableColumn id="4" xr3:uid="{BCCFE42C-2D75-4FA9-BF77-6B88C72A6845}" name="Original List =1 (Autre = 0)" dataDxfId="208"/>
    <tableColumn id="5" xr3:uid="{B0658D0B-189F-465E-B417-3AE38ECB87D3}" name="Code Facture" dataDxfId="207"/>
  </tableColumns>
  <tableStyleInfo name="TableStyleDark3"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F859EFEC-6DE2-4DC0-B734-5A9D34CDA883}" name="TablePaysSearch" displayName="TablePaysSearch" ref="H217:J423" totalsRowShown="0" headerRowDxfId="206">
  <autoFilter ref="H217:J423" xr:uid="{F859EFEC-6DE2-4DC0-B734-5A9D34CDA883}"/>
  <tableColumns count="3">
    <tableColumn id="1" xr3:uid="{11A47EAD-61C5-4C69-8258-2F91C7203A32}" name="FoundInSearch" dataDxfId="205">
      <calculatedColumnFormula>IF(ISNUMBER(SEARCH(HOME_Country,TablePays[[#This Row],[Country_Names]])),1,0)</calculatedColumnFormula>
    </tableColumn>
    <tableColumn id="2" xr3:uid="{243F69D5-B925-4467-870B-3396EC9B713C}" name="FilteredCountry" dataDxfId="204">
      <calculatedColumnFormula>IF(J218&lt;&gt;"",INDEX(TablePays[Country_Names],J218),"")</calculatedColumnFormula>
    </tableColumn>
    <tableColumn id="3" xr3:uid="{A8E26F9D-13C3-4272-A660-CADCEB6C01D5}" name="rownum" dataDxfId="203">
      <calculatedColumnFormula array="1">IFERROR(MATCH(0,COUNTIF($I$217:I217,TablePays[Country_Names])+IF($H$218:$H$423=0,1,0),0),"")</calculatedColumnFormula>
    </tableColumn>
  </tableColumns>
  <tableStyleInfo name="TableStyleDark3"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leQCalcMain" displayName="TableQCalcMain" ref="B2:AH161" totalsRowShown="0" headerRowDxfId="202" dataDxfId="201">
  <autoFilter ref="B2:AH161" xr:uid="{00000000-0009-0000-0100-000005000000}"/>
  <tableColumns count="33">
    <tableColumn id="1" xr3:uid="{00000000-0010-0000-0500-000001000000}" name="Variable / Product ID" dataDxfId="200"/>
    <tableColumn id="3" xr3:uid="{00000000-0010-0000-0500-000003000000}" name="Real_Quantity" dataDxfId="199">
      <calculatedColumnFormula>IF(
IFERROR(INDIRECT(TableQCalcMain[[#This Row],[Variable / Product ID]])*1-1,0)+IFERROR(FIND("_OptionXL",TableQCalcMain[[#This Row],[Variable / Product ID]])&gt;0,0)&gt;0,
IFERROR(INDIRECT(TableQCalcMain[[#This Row],[Variable / Product ID]])*1-1,0)+IFERROR(FIND("_OptionXL",TableQCalcMain[[#This Row],[Variable / Product ID]])&gt;0,0),
"")</calculatedColumnFormula>
    </tableColumn>
    <tableColumn id="8" xr3:uid="{00000000-0010-0000-0500-000008000000}" name="ShowDesc?" dataDxfId="198"/>
    <tableColumn id="15" xr3:uid="{C558686B-7202-40B0-83D8-5CBEF0C4FDD0}" name="Software" dataDxfId="197"/>
    <tableColumn id="16" xr3:uid="{34FB7758-E8E2-41E1-89F1-B83219E51B16}" name="Hardware" dataDxfId="196"/>
    <tableColumn id="17" xr3:uid="{630C3CD0-D49C-450A-A783-91EDA26C0578}" name="ShowSoft" dataDxfId="195">
      <calculatedColumnFormula>TableQCalcMain[[#This Row],[ShowDesc?]]*TableQCalcMain[[#This Row],[Software]]</calculatedColumnFormula>
    </tableColumn>
    <tableColumn id="18" xr3:uid="{A72FD968-C0AC-4DD8-930C-D837132F92E2}" name="ShowHard" dataDxfId="194">
      <calculatedColumnFormula>TableQCalcMain[[#This Row],[ShowDesc?]]*TableQCalcMain[[#This Row],[Hardware]]</calculatedColumnFormula>
    </tableColumn>
    <tableColumn id="4" xr3:uid="{00000000-0010-0000-0500-000004000000}" name="Description" dataDxfId="193"/>
    <tableColumn id="10" xr3:uid="{00000000-0010-0000-0500-00000A000000}" name="Harmonized_Code" dataDxfId="192"/>
    <tableColumn id="14" xr3:uid="{00000000-0010-0000-0500-00000E000000}" name="Detailed_Ext_Price" dataDxfId="191"/>
    <tableColumn id="11" xr3:uid="{00000000-0010-0000-0500-00000B000000}" name="Unit_Price" dataDxfId="190"/>
    <tableColumn id="12" xr3:uid="{00000000-0010-0000-0500-00000C000000}" name="Extended_price" dataDxfId="189"/>
    <tableColumn id="5" xr3:uid="{00000000-0010-0000-0500-000005000000}" name="Description_Unsplit" dataDxfId="188">
      <calculatedColumnFormula array="1">IFERROR(
INDEX(TableQCalcMain[Description],MATCH(0,COUNTIF(N1:$N$126,TableQCalcMain[Description])+IF(TableQCalcMain[ShowDesc?]=0,1,0),0)),"")</calculatedColumnFormula>
    </tableColumn>
    <tableColumn id="9" xr3:uid="{00000000-0010-0000-0500-000009000000}" name="Harmonized_Code_Unsplit" dataDxfId="187"/>
    <tableColumn id="2" xr3:uid="{00000000-0010-0000-0500-000002000000}" name="DetailedPrice_Unsplit" dataDxfId="186"/>
    <tableColumn id="6" xr3:uid="{00000000-0010-0000-0500-000006000000}" name="RealQty_Unsplit" dataDxfId="185">
      <calculatedColumnFormula>IFERROR(
OFFSET(INDEX($I$22:$I$146,MATCH(0,COUNTIF(N2:$N$2,$I$22:$I$146)+IF($D$22:$D$146=0,1,0),0)),0,-2),"")</calculatedColumnFormula>
    </tableColumn>
    <tableColumn id="7" xr3:uid="{00000000-0010-0000-0500-000007000000}" name="Unit Price_Unsplit" dataDxfId="184"/>
    <tableColumn id="13" xr3:uid="{00000000-0010-0000-0500-00000D000000}" name="Ext Price_Unsplit" dataDxfId="183"/>
    <tableColumn id="19" xr3:uid="{ABE27FE9-1580-469F-ACAA-F1201CD6282A}" name="RowNumOfShownItems_Unsplit" dataDxfId="182"/>
    <tableColumn id="20" xr3:uid="{D031F8C8-A96E-4D66-ACA0-28ECFCDB4B53}" name="Description_SOFT" dataDxfId="181"/>
    <tableColumn id="21" xr3:uid="{09D8DDF7-E5BF-4088-AA58-F3FB8DF47399}" name="Harmonized_Code_SOFT" dataDxfId="180"/>
    <tableColumn id="22" xr3:uid="{FD9D78C2-D12E-41D2-ACCE-9E1D50F0A212}" name="DetailedPrice_SOFT" dataDxfId="179"/>
    <tableColumn id="23" xr3:uid="{DFA8DBA5-FE3F-4680-8675-CBCC883C0A3D}" name="RealQty_SOFT" dataDxfId="178"/>
    <tableColumn id="24" xr3:uid="{6FFA55DE-25BC-4CD4-971B-31EC26169AB5}" name="Unit_Price_SOFT" dataDxfId="177"/>
    <tableColumn id="25" xr3:uid="{ADC900DD-0598-4163-AB97-1721E2A99D8B}" name="Ext_Price_SOFT" dataDxfId="176"/>
    <tableColumn id="26" xr3:uid="{C0621B9A-89DF-4ED0-B633-A9EC29F28C03}" name="RowNumOfShownItems_SOFT" dataDxfId="175"/>
    <tableColumn id="27" xr3:uid="{6A201B77-61A2-4829-BBE7-25C1BFC61965}" name="DescHW" dataDxfId="174"/>
    <tableColumn id="28" xr3:uid="{A8C30F3C-4CDC-4F4E-95F4-9EB9F5A9809A}" name="CodeH HW" dataDxfId="173"/>
    <tableColumn id="29" xr3:uid="{BB3FC60C-282E-4E1B-9870-E96917E74475}" name="DetailedPriceHW" dataDxfId="172"/>
    <tableColumn id="30" xr3:uid="{55720E03-1F1B-49FB-92A2-6977088B6A68}" name="QtyHW" dataDxfId="171"/>
    <tableColumn id="31" xr3:uid="{3F3EAA00-89F3-4E5A-955C-31278D78C8BF}" name="Unit_PriceHW" dataDxfId="170"/>
    <tableColumn id="32" xr3:uid="{FBB2B460-154E-44A4-91F7-B5E704AB284F}" name="Ext_PriceHW" dataDxfId="169"/>
    <tableColumn id="33" xr3:uid="{BC0268B0-2B7A-4DAB-AA96-5F03BC144E18}" name="RowNumOfShownItems_Hard" dataDxfId="168"/>
  </tableColumns>
  <tableStyleInfo name="TableStyleDark7"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QCalcRabais" displayName="TableQCalcRabais" ref="B184:N192" totalsRowShown="0">
  <autoFilter ref="B184:N192" xr:uid="{00000000-0009-0000-0100-000007000000}"/>
  <tableColumns count="13">
    <tableColumn id="1" xr3:uid="{00000000-0010-0000-0600-000001000000}" name="Software"/>
    <tableColumn id="3" xr3:uid="{00000000-0010-0000-0600-000003000000}" name="XL+Win Price+Update/upgrade" dataDxfId="167"/>
    <tableColumn id="4" xr3:uid="{00000000-0010-0000-0600-000004000000}" name="Dist price" dataDxfId="166"/>
    <tableColumn id="9" xr3:uid="{00000000-0010-0000-0600-000009000000}" name="license"/>
    <tableColumn id="10" xr3:uid="{00000000-0010-0000-0600-00000A000000}" name="update"/>
    <tableColumn id="13" xr3:uid="{00000000-0010-0000-0600-00000D000000}" name="upgrade" dataDxfId="165"/>
    <tableColumn id="5" xr3:uid="{00000000-0010-0000-0600-000005000000}" name="XLSoftware"/>
    <tableColumn id="6" xr3:uid="{00000000-0010-0000-0600-000006000000}" name="Column2">
      <calculatedColumnFormula>IF(QUOTE_SameClient=TRUE,
REPT(" ",30)&amp;INDEX(TableLists[Column12],TableQCalcRabais[[#This Row],[iRow+2]])*100 &amp; IF(Francais,"% de rabais sur ","% discount on ") &amp; INDEX(IF(Francais,{"2e";"3e";"4e";"5e";"6e";"7e";"8e"},{"2nd";"3rd";"4th";"5th";"6th";"7th";"8th"}),TableQCalcRabais[[#This Row],[iRow+2]]-1) &amp; IF(Francais," produit: "," product: ") &amp;
OFFSET(TableQCalcRabais[Software],MATCH(TableQCalcRabais[[#This Row],[iRow+2]],TableQCalcRabais[Rank],0)-1,0,1,1) &amp;" (" &amp;IF(
OFFSET(TableQCalcRabais[license],MATCH(TableQCalcRabais[[#This Row],[iRow+2]],TableQCalcRabais[Rank],0)-1,0,1,1)&gt;0,IF(Francais,"Nouvelle License","New License"),"") &amp; IF(AND(
OFFSET(TableQCalcRabais[license],MATCH(TableQCalcRabais[[#This Row],[iRow+2]],TableQCalcRabais[Rank],0)-1,0,1,1)&gt;0,OR(
OFFSET(TableQCalcRabais[update],MATCH(TableQCalcRabais[[#This Row],[iRow+2]],TableQCalcRabais[Rank],0)-1,0,1,1)&gt;0,
OFFSET(TableQCalcRabais[upgrade],MATCH(TableQCalcRabais[[#This Row],[iRow+2]],TableQCalcRabais[Rank],0)-1,0,1,1)&gt;0,
OFFSET(TableQCalcRabais[upgrade],MATCH(TableQCalcRabais[[#This Row],[iRow+2]],TableQCalcRabais[Rank],0)-1,0,1,1)&gt;0)),"&amp;","") &amp;IF(OR(
OFFSET(TableQCalcRabais[update],MATCH(TableQCalcRabais[[#This Row],[iRow+2]],TableQCalcRabais[Rank],0)-1,0,1,1)&gt;0,
OFFSET(TableQCalcRabais[upgrade],MATCH(TableQCalcRabais[[#This Row],[iRow+2]],TableQCalcRabais[Rank],0)-1,0,1,1)&gt;0),IF(Francais,"M-à-jour","Update"),"") &amp;IF(
OFFSET(TableQCalcRabais[XLSoftware],MATCH(TableQCalcRabais[[#This Row],[iRow+2]],TableQCalcRabais[Rank],0)-1,0,1,1)&gt;0,
OFFSET(TableQCalcRabais[XLName],MATCH(TableQCalcRabais[[#This Row],[iRow+2]],TableQCalcRabais[Rank],0)-1,0,1,1),"") &amp; ")",NA())</calculatedColumnFormula>
    </tableColumn>
    <tableColumn id="7" xr3:uid="{00000000-0010-0000-0600-000007000000}" name="Rank">
      <calculatedColumnFormula xml:space="preserve">
IF((_xlfn.RANK.EQ(C185,$C$185:$C$192,0)+COUNTIF($C$185:C185,C185)-1)&lt;=COUNTIF($C$185:$C$192,"&gt;0"),_xlfn.RANK.EQ(C185,$C$185:$C$192,0)+COUNTIF($C$185:C185,C185)-1,0)</calculatedColumnFormula>
    </tableColumn>
    <tableColumn id="11" xr3:uid="{00000000-0010-0000-0600-00000B000000}" name="iRow+2">
      <calculatedColumnFormula>ROW(B185)-ROW($B$185)+2</calculatedColumnFormula>
    </tableColumn>
    <tableColumn id="12" xr3:uid="{00000000-0010-0000-0600-00000C000000}" name="Rabais" dataDxfId="164"/>
    <tableColumn id="2" xr3:uid="{BBFD5CDB-8CD8-471C-BE68-43676F2F7CD1}" name="Column1"/>
    <tableColumn id="8" xr3:uid="{D35D4507-D5A0-413C-9B1A-86CC94D6029F}" name="XLName"/>
  </tableColumns>
  <tableStyleInfo name="TableStyleDark7" showFirstColumn="0" showLastColumn="0" showRowStripes="1" showColumnStripes="0"/>
</table>
</file>

<file path=xl/theme/theme1.xml><?xml version="1.0" encoding="utf-8"?>
<a:theme xmlns:a="http://schemas.openxmlformats.org/drawingml/2006/main" name="Office Theme">
  <a:themeElements>
    <a:clrScheme name="KeepLinkBlu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5.xml"/><Relationship Id="rId3" Type="http://schemas.openxmlformats.org/officeDocument/2006/relationships/vmlDrawing" Target="../drawings/vmlDrawing8.vml"/><Relationship Id="rId7" Type="http://schemas.openxmlformats.org/officeDocument/2006/relationships/ctrlProp" Target="../ctrlProps/ctrlProp54.x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ctrlProp" Target="../ctrlProps/ctrlProp53.xml"/><Relationship Id="rId5" Type="http://schemas.openxmlformats.org/officeDocument/2006/relationships/ctrlProp" Target="../ctrlProps/ctrlProp52.xml"/><Relationship Id="rId4" Type="http://schemas.openxmlformats.org/officeDocument/2006/relationships/ctrlProp" Target="../ctrlProps/ctrlProp51.xml"/><Relationship Id="rId9" Type="http://schemas.openxmlformats.org/officeDocument/2006/relationships/ctrlProp" Target="../ctrlProps/ctrlProp56.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1.xml"/><Relationship Id="rId13" Type="http://schemas.openxmlformats.org/officeDocument/2006/relationships/ctrlProp" Target="../ctrlProps/ctrlProp66.xml"/><Relationship Id="rId18" Type="http://schemas.openxmlformats.org/officeDocument/2006/relationships/ctrlProp" Target="../ctrlProps/ctrlProp71.xml"/><Relationship Id="rId3" Type="http://schemas.openxmlformats.org/officeDocument/2006/relationships/vmlDrawing" Target="../drawings/vmlDrawing9.vml"/><Relationship Id="rId21" Type="http://schemas.openxmlformats.org/officeDocument/2006/relationships/ctrlProp" Target="../ctrlProps/ctrlProp74.xml"/><Relationship Id="rId7" Type="http://schemas.openxmlformats.org/officeDocument/2006/relationships/ctrlProp" Target="../ctrlProps/ctrlProp60.xml"/><Relationship Id="rId12" Type="http://schemas.openxmlformats.org/officeDocument/2006/relationships/ctrlProp" Target="../ctrlProps/ctrlProp65.xml"/><Relationship Id="rId17" Type="http://schemas.openxmlformats.org/officeDocument/2006/relationships/ctrlProp" Target="../ctrlProps/ctrlProp70.xml"/><Relationship Id="rId2" Type="http://schemas.openxmlformats.org/officeDocument/2006/relationships/drawing" Target="../drawings/drawing10.xml"/><Relationship Id="rId16" Type="http://schemas.openxmlformats.org/officeDocument/2006/relationships/ctrlProp" Target="../ctrlProps/ctrlProp69.xml"/><Relationship Id="rId20" Type="http://schemas.openxmlformats.org/officeDocument/2006/relationships/ctrlProp" Target="../ctrlProps/ctrlProp73.xml"/><Relationship Id="rId1" Type="http://schemas.openxmlformats.org/officeDocument/2006/relationships/printerSettings" Target="../printerSettings/printerSettings11.bin"/><Relationship Id="rId6" Type="http://schemas.openxmlformats.org/officeDocument/2006/relationships/ctrlProp" Target="../ctrlProps/ctrlProp59.xml"/><Relationship Id="rId11" Type="http://schemas.openxmlformats.org/officeDocument/2006/relationships/ctrlProp" Target="../ctrlProps/ctrlProp64.xml"/><Relationship Id="rId24" Type="http://schemas.openxmlformats.org/officeDocument/2006/relationships/ctrlProp" Target="../ctrlProps/ctrlProp77.xml"/><Relationship Id="rId5" Type="http://schemas.openxmlformats.org/officeDocument/2006/relationships/ctrlProp" Target="../ctrlProps/ctrlProp58.xml"/><Relationship Id="rId15" Type="http://schemas.openxmlformats.org/officeDocument/2006/relationships/ctrlProp" Target="../ctrlProps/ctrlProp68.xml"/><Relationship Id="rId23" Type="http://schemas.openxmlformats.org/officeDocument/2006/relationships/ctrlProp" Target="../ctrlProps/ctrlProp76.xml"/><Relationship Id="rId10" Type="http://schemas.openxmlformats.org/officeDocument/2006/relationships/ctrlProp" Target="../ctrlProps/ctrlProp63.xml"/><Relationship Id="rId19" Type="http://schemas.openxmlformats.org/officeDocument/2006/relationships/ctrlProp" Target="../ctrlProps/ctrlProp72.xml"/><Relationship Id="rId4" Type="http://schemas.openxmlformats.org/officeDocument/2006/relationships/ctrlProp" Target="../ctrlProps/ctrlProp57.xml"/><Relationship Id="rId9" Type="http://schemas.openxmlformats.org/officeDocument/2006/relationships/ctrlProp" Target="../ctrlProps/ctrlProp62.xml"/><Relationship Id="rId14" Type="http://schemas.openxmlformats.org/officeDocument/2006/relationships/ctrlProp" Target="../ctrlProps/ctrlProp67.xml"/><Relationship Id="rId22" Type="http://schemas.openxmlformats.org/officeDocument/2006/relationships/ctrlProp" Target="../ctrlProps/ctrlProp75.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82.xml"/><Relationship Id="rId13" Type="http://schemas.openxmlformats.org/officeDocument/2006/relationships/ctrlProp" Target="../ctrlProps/ctrlProp87.xml"/><Relationship Id="rId3" Type="http://schemas.openxmlformats.org/officeDocument/2006/relationships/vmlDrawing" Target="../drawings/vmlDrawing10.vml"/><Relationship Id="rId7" Type="http://schemas.openxmlformats.org/officeDocument/2006/relationships/ctrlProp" Target="../ctrlProps/ctrlProp81.xml"/><Relationship Id="rId12" Type="http://schemas.openxmlformats.org/officeDocument/2006/relationships/ctrlProp" Target="../ctrlProps/ctrlProp86.xml"/><Relationship Id="rId17" Type="http://schemas.openxmlformats.org/officeDocument/2006/relationships/ctrlProp" Target="../ctrlProps/ctrlProp91.xml"/><Relationship Id="rId2" Type="http://schemas.openxmlformats.org/officeDocument/2006/relationships/drawing" Target="../drawings/drawing11.xml"/><Relationship Id="rId16" Type="http://schemas.openxmlformats.org/officeDocument/2006/relationships/ctrlProp" Target="../ctrlProps/ctrlProp90.xml"/><Relationship Id="rId1" Type="http://schemas.openxmlformats.org/officeDocument/2006/relationships/printerSettings" Target="../printerSettings/printerSettings12.bin"/><Relationship Id="rId6" Type="http://schemas.openxmlformats.org/officeDocument/2006/relationships/ctrlProp" Target="../ctrlProps/ctrlProp80.xml"/><Relationship Id="rId11" Type="http://schemas.openxmlformats.org/officeDocument/2006/relationships/ctrlProp" Target="../ctrlProps/ctrlProp85.xml"/><Relationship Id="rId5" Type="http://schemas.openxmlformats.org/officeDocument/2006/relationships/ctrlProp" Target="../ctrlProps/ctrlProp79.xml"/><Relationship Id="rId15" Type="http://schemas.openxmlformats.org/officeDocument/2006/relationships/ctrlProp" Target="../ctrlProps/ctrlProp89.xml"/><Relationship Id="rId10" Type="http://schemas.openxmlformats.org/officeDocument/2006/relationships/ctrlProp" Target="../ctrlProps/ctrlProp84.xml"/><Relationship Id="rId4" Type="http://schemas.openxmlformats.org/officeDocument/2006/relationships/ctrlProp" Target="../ctrlProps/ctrlProp78.xml"/><Relationship Id="rId9" Type="http://schemas.openxmlformats.org/officeDocument/2006/relationships/ctrlProp" Target="../ctrlProps/ctrlProp83.xml"/><Relationship Id="rId14" Type="http://schemas.openxmlformats.org/officeDocument/2006/relationships/ctrlProp" Target="../ctrlProps/ctrlProp88.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96.xml"/><Relationship Id="rId13" Type="http://schemas.openxmlformats.org/officeDocument/2006/relationships/ctrlProp" Target="../ctrlProps/ctrlProp101.xml"/><Relationship Id="rId3" Type="http://schemas.openxmlformats.org/officeDocument/2006/relationships/vmlDrawing" Target="../drawings/vmlDrawing11.vml"/><Relationship Id="rId7" Type="http://schemas.openxmlformats.org/officeDocument/2006/relationships/ctrlProp" Target="../ctrlProps/ctrlProp95.xml"/><Relationship Id="rId12" Type="http://schemas.openxmlformats.org/officeDocument/2006/relationships/ctrlProp" Target="../ctrlProps/ctrlProp100.xml"/><Relationship Id="rId17" Type="http://schemas.openxmlformats.org/officeDocument/2006/relationships/ctrlProp" Target="../ctrlProps/ctrlProp105.xml"/><Relationship Id="rId2" Type="http://schemas.openxmlformats.org/officeDocument/2006/relationships/drawing" Target="../drawings/drawing12.xml"/><Relationship Id="rId16" Type="http://schemas.openxmlformats.org/officeDocument/2006/relationships/ctrlProp" Target="../ctrlProps/ctrlProp104.xml"/><Relationship Id="rId1" Type="http://schemas.openxmlformats.org/officeDocument/2006/relationships/printerSettings" Target="../printerSettings/printerSettings13.bin"/><Relationship Id="rId6" Type="http://schemas.openxmlformats.org/officeDocument/2006/relationships/ctrlProp" Target="../ctrlProps/ctrlProp94.xml"/><Relationship Id="rId11" Type="http://schemas.openxmlformats.org/officeDocument/2006/relationships/ctrlProp" Target="../ctrlProps/ctrlProp99.xml"/><Relationship Id="rId5" Type="http://schemas.openxmlformats.org/officeDocument/2006/relationships/ctrlProp" Target="../ctrlProps/ctrlProp93.xml"/><Relationship Id="rId15" Type="http://schemas.openxmlformats.org/officeDocument/2006/relationships/ctrlProp" Target="../ctrlProps/ctrlProp103.xml"/><Relationship Id="rId10" Type="http://schemas.openxmlformats.org/officeDocument/2006/relationships/ctrlProp" Target="../ctrlProps/ctrlProp98.xml"/><Relationship Id="rId4" Type="http://schemas.openxmlformats.org/officeDocument/2006/relationships/ctrlProp" Target="../ctrlProps/ctrlProp92.xml"/><Relationship Id="rId9" Type="http://schemas.openxmlformats.org/officeDocument/2006/relationships/ctrlProp" Target="../ctrlProps/ctrlProp97.xml"/><Relationship Id="rId14" Type="http://schemas.openxmlformats.org/officeDocument/2006/relationships/ctrlProp" Target="../ctrlProps/ctrlProp102.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10.xml"/><Relationship Id="rId13" Type="http://schemas.openxmlformats.org/officeDocument/2006/relationships/ctrlProp" Target="../ctrlProps/ctrlProp115.xml"/><Relationship Id="rId18" Type="http://schemas.openxmlformats.org/officeDocument/2006/relationships/ctrlProp" Target="../ctrlProps/ctrlProp120.xml"/><Relationship Id="rId3" Type="http://schemas.openxmlformats.org/officeDocument/2006/relationships/vmlDrawing" Target="../drawings/vmlDrawing12.vml"/><Relationship Id="rId7" Type="http://schemas.openxmlformats.org/officeDocument/2006/relationships/ctrlProp" Target="../ctrlProps/ctrlProp109.xml"/><Relationship Id="rId12" Type="http://schemas.openxmlformats.org/officeDocument/2006/relationships/ctrlProp" Target="../ctrlProps/ctrlProp114.xml"/><Relationship Id="rId17" Type="http://schemas.openxmlformats.org/officeDocument/2006/relationships/ctrlProp" Target="../ctrlProps/ctrlProp119.xml"/><Relationship Id="rId2" Type="http://schemas.openxmlformats.org/officeDocument/2006/relationships/drawing" Target="../drawings/drawing13.xml"/><Relationship Id="rId16" Type="http://schemas.openxmlformats.org/officeDocument/2006/relationships/ctrlProp" Target="../ctrlProps/ctrlProp118.xml"/><Relationship Id="rId1" Type="http://schemas.openxmlformats.org/officeDocument/2006/relationships/printerSettings" Target="../printerSettings/printerSettings14.bin"/><Relationship Id="rId6" Type="http://schemas.openxmlformats.org/officeDocument/2006/relationships/ctrlProp" Target="../ctrlProps/ctrlProp108.xml"/><Relationship Id="rId11" Type="http://schemas.openxmlformats.org/officeDocument/2006/relationships/ctrlProp" Target="../ctrlProps/ctrlProp113.xml"/><Relationship Id="rId5" Type="http://schemas.openxmlformats.org/officeDocument/2006/relationships/ctrlProp" Target="../ctrlProps/ctrlProp107.xml"/><Relationship Id="rId15" Type="http://schemas.openxmlformats.org/officeDocument/2006/relationships/ctrlProp" Target="../ctrlProps/ctrlProp117.xml"/><Relationship Id="rId10" Type="http://schemas.openxmlformats.org/officeDocument/2006/relationships/ctrlProp" Target="../ctrlProps/ctrlProp112.xml"/><Relationship Id="rId4" Type="http://schemas.openxmlformats.org/officeDocument/2006/relationships/ctrlProp" Target="../ctrlProps/ctrlProp106.xml"/><Relationship Id="rId9" Type="http://schemas.openxmlformats.org/officeDocument/2006/relationships/ctrlProp" Target="../ctrlProps/ctrlProp111.xml"/><Relationship Id="rId14" Type="http://schemas.openxmlformats.org/officeDocument/2006/relationships/ctrlProp" Target="../ctrlProps/ctrlProp116.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25.xml"/><Relationship Id="rId3" Type="http://schemas.openxmlformats.org/officeDocument/2006/relationships/vmlDrawing" Target="../drawings/vmlDrawing13.vml"/><Relationship Id="rId7" Type="http://schemas.openxmlformats.org/officeDocument/2006/relationships/ctrlProp" Target="../ctrlProps/ctrlProp124.xml"/><Relationship Id="rId2" Type="http://schemas.openxmlformats.org/officeDocument/2006/relationships/drawing" Target="../drawings/drawing14.xml"/><Relationship Id="rId1" Type="http://schemas.openxmlformats.org/officeDocument/2006/relationships/printerSettings" Target="../printerSettings/printerSettings15.bin"/><Relationship Id="rId6" Type="http://schemas.openxmlformats.org/officeDocument/2006/relationships/ctrlProp" Target="../ctrlProps/ctrlProp123.xml"/><Relationship Id="rId5" Type="http://schemas.openxmlformats.org/officeDocument/2006/relationships/ctrlProp" Target="../ctrlProps/ctrlProp122.xml"/><Relationship Id="rId4" Type="http://schemas.openxmlformats.org/officeDocument/2006/relationships/ctrlProp" Target="../ctrlProps/ctrlProp121.xml"/><Relationship Id="rId9" Type="http://schemas.openxmlformats.org/officeDocument/2006/relationships/ctrlProp" Target="../ctrlProps/ctrlProp126.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31.xml"/><Relationship Id="rId3" Type="http://schemas.openxmlformats.org/officeDocument/2006/relationships/vmlDrawing" Target="../drawings/vmlDrawing14.vml"/><Relationship Id="rId7" Type="http://schemas.openxmlformats.org/officeDocument/2006/relationships/ctrlProp" Target="../ctrlProps/ctrlProp130.xml"/><Relationship Id="rId2" Type="http://schemas.openxmlformats.org/officeDocument/2006/relationships/drawing" Target="../drawings/drawing15.xml"/><Relationship Id="rId1" Type="http://schemas.openxmlformats.org/officeDocument/2006/relationships/printerSettings" Target="../printerSettings/printerSettings16.bin"/><Relationship Id="rId6" Type="http://schemas.openxmlformats.org/officeDocument/2006/relationships/ctrlProp" Target="../ctrlProps/ctrlProp129.xml"/><Relationship Id="rId11" Type="http://schemas.openxmlformats.org/officeDocument/2006/relationships/ctrlProp" Target="../ctrlProps/ctrlProp134.xml"/><Relationship Id="rId5" Type="http://schemas.openxmlformats.org/officeDocument/2006/relationships/ctrlProp" Target="../ctrlProps/ctrlProp128.xml"/><Relationship Id="rId10" Type="http://schemas.openxmlformats.org/officeDocument/2006/relationships/ctrlProp" Target="../ctrlProps/ctrlProp133.xml"/><Relationship Id="rId4" Type="http://schemas.openxmlformats.org/officeDocument/2006/relationships/ctrlProp" Target="../ctrlProps/ctrlProp127.xml"/><Relationship Id="rId9" Type="http://schemas.openxmlformats.org/officeDocument/2006/relationships/ctrlProp" Target="../ctrlProps/ctrlProp132.xml"/></Relationships>
</file>

<file path=xl/worksheets/_rels/sheet17.xml.rels><?xml version="1.0" encoding="UTF-8" standalone="yes"?>
<Relationships xmlns="http://schemas.openxmlformats.org/package/2006/relationships"><Relationship Id="rId8" Type="http://schemas.openxmlformats.org/officeDocument/2006/relationships/table" Target="../tables/table5.xml"/><Relationship Id="rId3" Type="http://schemas.openxmlformats.org/officeDocument/2006/relationships/vmlDrawing" Target="../drawings/vmlDrawing15.vml"/><Relationship Id="rId7" Type="http://schemas.openxmlformats.org/officeDocument/2006/relationships/table" Target="../tables/table4.xml"/><Relationship Id="rId2" Type="http://schemas.openxmlformats.org/officeDocument/2006/relationships/drawing" Target="../drawings/drawing16.xml"/><Relationship Id="rId1" Type="http://schemas.openxmlformats.org/officeDocument/2006/relationships/printerSettings" Target="../printerSettings/printerSettings17.bin"/><Relationship Id="rId6" Type="http://schemas.openxmlformats.org/officeDocument/2006/relationships/table" Target="../tables/table3.xml"/><Relationship Id="rId11" Type="http://schemas.openxmlformats.org/officeDocument/2006/relationships/comments" Target="../comments3.xml"/><Relationship Id="rId5" Type="http://schemas.openxmlformats.org/officeDocument/2006/relationships/table" Target="../tables/table2.xml"/><Relationship Id="rId10" Type="http://schemas.openxmlformats.org/officeDocument/2006/relationships/table" Target="../tables/table7.xml"/><Relationship Id="rId4" Type="http://schemas.openxmlformats.org/officeDocument/2006/relationships/table" Target="../tables/table1.xml"/><Relationship Id="rId9" Type="http://schemas.openxmlformats.org/officeDocument/2006/relationships/table" Target="../tables/table6.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39.xml"/><Relationship Id="rId3" Type="http://schemas.openxmlformats.org/officeDocument/2006/relationships/vmlDrawing" Target="../drawings/vmlDrawing16.vml"/><Relationship Id="rId7" Type="http://schemas.openxmlformats.org/officeDocument/2006/relationships/ctrlProp" Target="../ctrlProps/ctrlProp138.xml"/><Relationship Id="rId2" Type="http://schemas.openxmlformats.org/officeDocument/2006/relationships/drawing" Target="../drawings/drawing17.xml"/><Relationship Id="rId1" Type="http://schemas.openxmlformats.org/officeDocument/2006/relationships/printerSettings" Target="../printerSettings/printerSettings18.bin"/><Relationship Id="rId6" Type="http://schemas.openxmlformats.org/officeDocument/2006/relationships/ctrlProp" Target="../ctrlProps/ctrlProp137.xml"/><Relationship Id="rId11" Type="http://schemas.openxmlformats.org/officeDocument/2006/relationships/table" Target="../tables/table10.xml"/><Relationship Id="rId5" Type="http://schemas.openxmlformats.org/officeDocument/2006/relationships/ctrlProp" Target="../ctrlProps/ctrlProp136.xml"/><Relationship Id="rId10" Type="http://schemas.openxmlformats.org/officeDocument/2006/relationships/table" Target="../tables/table9.xml"/><Relationship Id="rId4" Type="http://schemas.openxmlformats.org/officeDocument/2006/relationships/ctrlProp" Target="../ctrlProps/ctrlProp135.xml"/><Relationship Id="rId9" Type="http://schemas.openxmlformats.org/officeDocument/2006/relationships/table" Target="../tables/table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trlProp" Target="../ctrlProps/ctrlProp140.xml"/></Relationships>
</file>

<file path=xl/worksheets/_rels/sheet2.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2.bin"/><Relationship Id="rId7" Type="http://schemas.openxmlformats.org/officeDocument/2006/relationships/ctrlProp" Target="../ctrlProps/ctrlProp3.xml"/><Relationship Id="rId2" Type="http://schemas.openxmlformats.org/officeDocument/2006/relationships/hyperlink" Target="mailto:sales@regentinstruments.com" TargetMode="External"/><Relationship Id="rId1" Type="http://schemas.openxmlformats.org/officeDocument/2006/relationships/hyperlink" Target="mailto:sales@regentinstruments.com" TargetMode="External"/><Relationship Id="rId6" Type="http://schemas.openxmlformats.org/officeDocument/2006/relationships/ctrlProp" Target="../ctrlProps/ctrlProp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18.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18" Type="http://schemas.openxmlformats.org/officeDocument/2006/relationships/comments" Target="../comments2.xml"/><Relationship Id="rId3" Type="http://schemas.openxmlformats.org/officeDocument/2006/relationships/printerSettings" Target="../printerSettings/printerSettings3.bin"/><Relationship Id="rId7" Type="http://schemas.openxmlformats.org/officeDocument/2006/relationships/ctrlProp" Target="../ctrlProps/ctrlProp5.xml"/><Relationship Id="rId12" Type="http://schemas.openxmlformats.org/officeDocument/2006/relationships/ctrlProp" Target="../ctrlProps/ctrlProp10.xml"/><Relationship Id="rId17" Type="http://schemas.openxmlformats.org/officeDocument/2006/relationships/ctrlProp" Target="../ctrlProps/ctrlProp15.xml"/><Relationship Id="rId2" Type="http://schemas.openxmlformats.org/officeDocument/2006/relationships/hyperlink" Target="mailto:sales@regentinstruments.com" TargetMode="External"/><Relationship Id="rId16" Type="http://schemas.openxmlformats.org/officeDocument/2006/relationships/ctrlProp" Target="../ctrlProps/ctrlProp14.xml"/><Relationship Id="rId1" Type="http://schemas.openxmlformats.org/officeDocument/2006/relationships/hyperlink" Target="mailto:sales@regentinstruments.com" TargetMode="External"/><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vmlDrawing" Target="../drawings/vmlDrawing3.vml"/><Relationship Id="rId15" Type="http://schemas.openxmlformats.org/officeDocument/2006/relationships/ctrlProp" Target="../ctrlProps/ctrlProp13.xml"/><Relationship Id="rId10" Type="http://schemas.openxmlformats.org/officeDocument/2006/relationships/ctrlProp" Target="../ctrlProps/ctrlProp8.xml"/><Relationship Id="rId4" Type="http://schemas.openxmlformats.org/officeDocument/2006/relationships/drawing" Target="../drawings/drawing3.xml"/><Relationship Id="rId9" Type="http://schemas.openxmlformats.org/officeDocument/2006/relationships/ctrlProp" Target="../ctrlProps/ctrlProp7.xml"/><Relationship Id="rId14" Type="http://schemas.openxmlformats.org/officeDocument/2006/relationships/ctrlProp" Target="../ctrlProps/ctrlProp12.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sales@regentinstruments.com" TargetMode="External"/><Relationship Id="rId1" Type="http://schemas.openxmlformats.org/officeDocument/2006/relationships/hyperlink" Target="mailto:sales@regentinstruments.com" TargetMode="External"/><Relationship Id="rId6" Type="http://schemas.openxmlformats.org/officeDocument/2006/relationships/ctrlProp" Target="../ctrlProps/ctrlProp16.xml"/><Relationship Id="rId5" Type="http://schemas.openxmlformats.org/officeDocument/2006/relationships/vmlDrawing" Target="../drawings/vmlDrawing4.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sales@regentinstruments.com" TargetMode="External"/><Relationship Id="rId1" Type="http://schemas.openxmlformats.org/officeDocument/2006/relationships/hyperlink" Target="mailto:sales@regentinstruments.com"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21.xml"/><Relationship Id="rId3" Type="http://schemas.openxmlformats.org/officeDocument/2006/relationships/vmlDrawing" Target="../drawings/vmlDrawing5.vml"/><Relationship Id="rId7" Type="http://schemas.openxmlformats.org/officeDocument/2006/relationships/ctrlProp" Target="../ctrlProps/ctrlProp20.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 Id="rId9" Type="http://schemas.openxmlformats.org/officeDocument/2006/relationships/ctrlProp" Target="../ctrlProps/ctrlProp22.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7.xml"/><Relationship Id="rId3" Type="http://schemas.openxmlformats.org/officeDocument/2006/relationships/vmlDrawing" Target="../drawings/vmlDrawing6.vml"/><Relationship Id="rId7" Type="http://schemas.openxmlformats.org/officeDocument/2006/relationships/ctrlProp" Target="../ctrlProps/ctrlProp26.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25.xml"/><Relationship Id="rId5" Type="http://schemas.openxmlformats.org/officeDocument/2006/relationships/ctrlProp" Target="../ctrlProps/ctrlProp24.xml"/><Relationship Id="rId4" Type="http://schemas.openxmlformats.org/officeDocument/2006/relationships/ctrlProp" Target="../ctrlProps/ctrlProp23.xml"/><Relationship Id="rId9" Type="http://schemas.openxmlformats.org/officeDocument/2006/relationships/ctrlProp" Target="../ctrlProps/ctrlProp28.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3.xml"/><Relationship Id="rId13" Type="http://schemas.openxmlformats.org/officeDocument/2006/relationships/ctrlProp" Target="../ctrlProps/ctrlProp38.xml"/><Relationship Id="rId18" Type="http://schemas.openxmlformats.org/officeDocument/2006/relationships/ctrlProp" Target="../ctrlProps/ctrlProp43.xml"/><Relationship Id="rId3" Type="http://schemas.openxmlformats.org/officeDocument/2006/relationships/vmlDrawing" Target="../drawings/vmlDrawing7.vml"/><Relationship Id="rId21" Type="http://schemas.openxmlformats.org/officeDocument/2006/relationships/ctrlProp" Target="../ctrlProps/ctrlProp46.xml"/><Relationship Id="rId7" Type="http://schemas.openxmlformats.org/officeDocument/2006/relationships/ctrlProp" Target="../ctrlProps/ctrlProp32.xml"/><Relationship Id="rId12" Type="http://schemas.openxmlformats.org/officeDocument/2006/relationships/ctrlProp" Target="../ctrlProps/ctrlProp37.xml"/><Relationship Id="rId17" Type="http://schemas.openxmlformats.org/officeDocument/2006/relationships/ctrlProp" Target="../ctrlProps/ctrlProp42.xml"/><Relationship Id="rId25" Type="http://schemas.openxmlformats.org/officeDocument/2006/relationships/ctrlProp" Target="../ctrlProps/ctrlProp50.xml"/><Relationship Id="rId2" Type="http://schemas.openxmlformats.org/officeDocument/2006/relationships/drawing" Target="../drawings/drawing8.xml"/><Relationship Id="rId16" Type="http://schemas.openxmlformats.org/officeDocument/2006/relationships/ctrlProp" Target="../ctrlProps/ctrlProp41.xml"/><Relationship Id="rId20" Type="http://schemas.openxmlformats.org/officeDocument/2006/relationships/ctrlProp" Target="../ctrlProps/ctrlProp45.xml"/><Relationship Id="rId1" Type="http://schemas.openxmlformats.org/officeDocument/2006/relationships/printerSettings" Target="../printerSettings/printerSettings9.bin"/><Relationship Id="rId6" Type="http://schemas.openxmlformats.org/officeDocument/2006/relationships/ctrlProp" Target="../ctrlProps/ctrlProp31.xml"/><Relationship Id="rId11" Type="http://schemas.openxmlformats.org/officeDocument/2006/relationships/ctrlProp" Target="../ctrlProps/ctrlProp36.xml"/><Relationship Id="rId24" Type="http://schemas.openxmlformats.org/officeDocument/2006/relationships/ctrlProp" Target="../ctrlProps/ctrlProp49.xml"/><Relationship Id="rId5" Type="http://schemas.openxmlformats.org/officeDocument/2006/relationships/ctrlProp" Target="../ctrlProps/ctrlProp30.xml"/><Relationship Id="rId15" Type="http://schemas.openxmlformats.org/officeDocument/2006/relationships/ctrlProp" Target="../ctrlProps/ctrlProp40.xml"/><Relationship Id="rId23" Type="http://schemas.openxmlformats.org/officeDocument/2006/relationships/ctrlProp" Target="../ctrlProps/ctrlProp48.xml"/><Relationship Id="rId10" Type="http://schemas.openxmlformats.org/officeDocument/2006/relationships/ctrlProp" Target="../ctrlProps/ctrlProp35.xml"/><Relationship Id="rId19" Type="http://schemas.openxmlformats.org/officeDocument/2006/relationships/ctrlProp" Target="../ctrlProps/ctrlProp44.xml"/><Relationship Id="rId4" Type="http://schemas.openxmlformats.org/officeDocument/2006/relationships/ctrlProp" Target="../ctrlProps/ctrlProp29.xml"/><Relationship Id="rId9" Type="http://schemas.openxmlformats.org/officeDocument/2006/relationships/ctrlProp" Target="../ctrlProps/ctrlProp34.xml"/><Relationship Id="rId14" Type="http://schemas.openxmlformats.org/officeDocument/2006/relationships/ctrlProp" Target="../ctrlProps/ctrlProp39.xml"/><Relationship Id="rId22" Type="http://schemas.openxmlformats.org/officeDocument/2006/relationships/ctrlProp" Target="../ctrlProps/ctrlProp4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pageSetUpPr fitToPage="1"/>
  </sheetPr>
  <dimension ref="A1:T59"/>
  <sheetViews>
    <sheetView showGridLines="0" tabSelected="1" zoomScaleNormal="100" workbookViewId="0">
      <selection activeCell="B6" sqref="B6:E6"/>
    </sheetView>
  </sheetViews>
  <sheetFormatPr baseColWidth="10" defaultColWidth="0" defaultRowHeight="15.5" customHeight="1" zeroHeight="1" x14ac:dyDescent="0.2"/>
  <cols>
    <col min="1" max="1" width="18.6640625" bestFit="1" customWidth="1"/>
    <col min="2" max="5" width="4.5" customWidth="1"/>
    <col min="6" max="6" width="22" customWidth="1"/>
    <col min="7" max="7" width="13.1640625" bestFit="1" customWidth="1"/>
    <col min="8" max="8" width="22" customWidth="1"/>
    <col min="9" max="9" width="4.6640625" bestFit="1" customWidth="1"/>
    <col min="10" max="10" width="4.5" customWidth="1"/>
    <col min="11" max="11" width="18.6640625" bestFit="1" customWidth="1"/>
    <col min="12" max="15" width="4.5" customWidth="1"/>
    <col min="16" max="16" width="22" customWidth="1"/>
    <col min="17" max="17" width="13.1640625" bestFit="1" customWidth="1"/>
    <col min="18" max="18" width="31.1640625" customWidth="1"/>
    <col min="19" max="19" width="1.6640625" customWidth="1"/>
    <col min="20" max="20" width="4.5" hidden="1" customWidth="1"/>
    <col min="21" max="16384" width="8.6640625" hidden="1"/>
  </cols>
  <sheetData>
    <row r="1" spans="1:18" ht="16" x14ac:dyDescent="0.2"/>
    <row r="2" spans="1:18" ht="16" x14ac:dyDescent="0.2"/>
    <row r="3" spans="1:18" ht="26" x14ac:dyDescent="0.2">
      <c r="A3" s="806" t="str">
        <f>IF(Francais,Vars!$C$206, Vars!$C$207)</f>
        <v>Liste de prix interactive d'Instruments Regent 2026</v>
      </c>
      <c r="B3" s="807"/>
      <c r="C3" s="807"/>
      <c r="D3" s="807"/>
      <c r="E3" s="807"/>
      <c r="F3" s="807"/>
      <c r="G3" s="807"/>
      <c r="H3" s="807"/>
      <c r="I3" s="807"/>
      <c r="J3" s="807"/>
      <c r="K3" s="807"/>
      <c r="L3" s="807"/>
      <c r="M3" s="807"/>
      <c r="N3" s="807"/>
      <c r="O3" s="807"/>
      <c r="P3" s="807"/>
      <c r="Q3" s="807"/>
      <c r="R3" s="808"/>
    </row>
    <row r="4" spans="1:18" ht="293.25" customHeight="1" x14ac:dyDescent="0.2">
      <c r="A4" s="809"/>
      <c r="B4" s="809"/>
      <c r="C4" s="809"/>
      <c r="D4" s="809"/>
      <c r="E4" s="809"/>
      <c r="F4" s="809"/>
      <c r="G4" s="809"/>
      <c r="H4" s="809"/>
      <c r="I4" s="809"/>
      <c r="J4" s="809"/>
      <c r="K4" s="809"/>
      <c r="L4" s="809"/>
      <c r="M4" s="809"/>
      <c r="N4" s="809"/>
      <c r="O4" s="809"/>
      <c r="P4" s="809"/>
      <c r="Q4" s="809"/>
      <c r="R4" s="809"/>
    </row>
    <row r="5" spans="1:18" ht="15.75" customHeight="1" x14ac:dyDescent="0.2">
      <c r="A5" s="452"/>
      <c r="B5" s="453"/>
      <c r="C5" s="453"/>
      <c r="D5" s="453"/>
      <c r="E5" s="453"/>
      <c r="F5" s="453"/>
      <c r="G5" s="454"/>
      <c r="H5" s="454"/>
      <c r="I5" s="454"/>
      <c r="J5" s="454"/>
      <c r="K5" s="454"/>
      <c r="L5" s="454"/>
      <c r="M5" s="454"/>
      <c r="N5" s="454"/>
      <c r="O5" s="454"/>
      <c r="P5" s="454"/>
      <c r="Q5" s="454"/>
      <c r="R5" s="454"/>
    </row>
    <row r="6" spans="1:18" ht="16" x14ac:dyDescent="0.2">
      <c r="A6" s="106" t="str">
        <f>IF(Francais,"# Client","Customer #")</f>
        <v># Client</v>
      </c>
      <c r="B6" s="795" t="s">
        <v>777</v>
      </c>
      <c r="C6" s="795"/>
      <c r="D6" s="795"/>
      <c r="E6" s="795"/>
      <c r="F6" s="812" t="str">
        <f>IF(Francais,
CONCATENATE("Si vous avez déjà acheté chez nous dans le passé, ce numéro est inscrit sur les clés de protection de nos logiciels et sur nos factures. ","Il est composé de deux lettres et de sept chiffres (par exemple US2311212). Il est nécessaire pour calculer les remises et le coût des mises à jour des logiciels."),
"If you already bought from us in the past, this number is written on our software protection keys and invoices. It is made of two letters and 7 numbers (e.g. US2311212). It is required to calculate discounts and software updates cost.")</f>
        <v>Si vous avez déjà acheté chez nous dans le passé, ce numéro est inscrit sur les clés de protection de nos logiciels et sur nos factures. Il est composé de deux lettres et de sept chiffres (par exemple US2311212). Il est nécessaire pour calculer les remises et le coût des mises à jour des logiciels.</v>
      </c>
      <c r="G6" s="812"/>
      <c r="H6" s="812"/>
      <c r="I6" s="812"/>
      <c r="J6" s="812"/>
      <c r="K6" s="812"/>
      <c r="L6" s="812"/>
      <c r="M6" s="812"/>
      <c r="N6" s="812"/>
      <c r="O6" s="812"/>
      <c r="P6" s="812"/>
      <c r="Q6" s="812"/>
      <c r="R6" s="812"/>
    </row>
    <row r="7" spans="1:18" ht="16" x14ac:dyDescent="0.2">
      <c r="A7" s="202" t="str">
        <f>IF(Francais,"ACHETEUR:","BUYER:")</f>
        <v>ACHETEUR:</v>
      </c>
    </row>
    <row r="8" spans="1:18" ht="16" x14ac:dyDescent="0.2">
      <c r="A8" s="104"/>
      <c r="B8" s="105" t="str">
        <f>IF(Francais,"FACTURATION : ","BILL TO : ")</f>
        <v xml:space="preserve">FACTURATION : </v>
      </c>
      <c r="C8" s="105"/>
      <c r="D8" s="105"/>
      <c r="E8" s="105"/>
      <c r="F8" s="105"/>
      <c r="G8" s="105"/>
      <c r="H8" s="105"/>
      <c r="I8" s="105"/>
      <c r="J8" s="742"/>
      <c r="K8" s="104"/>
      <c r="L8" s="109" t="str">
        <f>IF(Francais,"EXPÉDITION : ","SHIP TO :")</f>
        <v xml:space="preserve">EXPÉDITION : </v>
      </c>
      <c r="M8" s="109"/>
      <c r="N8" s="109"/>
      <c r="O8" s="109"/>
      <c r="P8" s="109"/>
      <c r="Q8" s="109"/>
      <c r="R8" s="110"/>
    </row>
    <row r="9" spans="1:18" ht="16" x14ac:dyDescent="0.2">
      <c r="A9" s="107" t="str">
        <f>IF(Francais,"Titre","Title")</f>
        <v>Titre</v>
      </c>
      <c r="B9" s="746" t="s">
        <v>777</v>
      </c>
      <c r="C9" s="810" t="str">
        <f>IF(Francais,"Prénom","First Name")</f>
        <v>Prénom</v>
      </c>
      <c r="D9" s="810"/>
      <c r="E9" s="810"/>
      <c r="F9" s="738" t="s">
        <v>777</v>
      </c>
      <c r="G9" s="739" t="str">
        <f>IF(Francais,"Nom","Last Name")</f>
        <v>Nom</v>
      </c>
      <c r="H9" s="795" t="s">
        <v>777</v>
      </c>
      <c r="I9" s="795"/>
      <c r="J9" s="797"/>
      <c r="K9" s="106" t="str">
        <f>A9</f>
        <v>Titre</v>
      </c>
      <c r="L9" s="741"/>
      <c r="M9" s="811" t="str">
        <f>C9</f>
        <v>Prénom</v>
      </c>
      <c r="N9" s="811"/>
      <c r="O9" s="811"/>
      <c r="P9" s="741"/>
      <c r="Q9" s="739" t="str">
        <f>G9</f>
        <v>Nom</v>
      </c>
      <c r="R9" s="578"/>
    </row>
    <row r="10" spans="1:18" ht="16" x14ac:dyDescent="0.2">
      <c r="A10" s="107" t="str">
        <f>IF(Francais,"Institution/Entreprise","Institution/Company")</f>
        <v>Institution/Entreprise</v>
      </c>
      <c r="B10" s="795" t="s">
        <v>777</v>
      </c>
      <c r="C10" s="795"/>
      <c r="D10" s="795"/>
      <c r="E10" s="795"/>
      <c r="F10" s="795"/>
      <c r="G10" s="747" t="s">
        <v>126</v>
      </c>
      <c r="H10" s="747"/>
      <c r="I10" s="747"/>
      <c r="J10" s="749"/>
      <c r="K10" s="106" t="str">
        <f t="shared" ref="K10:K16" si="0">A10</f>
        <v>Institution/Entreprise</v>
      </c>
      <c r="L10" s="805"/>
      <c r="M10" s="805"/>
      <c r="N10" s="805"/>
      <c r="O10" s="805"/>
      <c r="P10" s="805"/>
      <c r="Q10" s="747"/>
      <c r="R10" s="749"/>
    </row>
    <row r="11" spans="1:18" ht="16" x14ac:dyDescent="0.2">
      <c r="A11" s="106" t="str">
        <f>IF(Francais,"Addresse 1","Address 1")</f>
        <v>Addresse 1</v>
      </c>
      <c r="B11" s="795" t="s">
        <v>777</v>
      </c>
      <c r="C11" s="795"/>
      <c r="D11" s="795"/>
      <c r="E11" s="795"/>
      <c r="F11" s="795"/>
      <c r="G11" s="747" t="s">
        <v>126</v>
      </c>
      <c r="H11" s="747"/>
      <c r="I11" s="747"/>
      <c r="J11" s="749"/>
      <c r="K11" s="106" t="str">
        <f t="shared" si="0"/>
        <v>Addresse 1</v>
      </c>
      <c r="L11" s="805"/>
      <c r="M11" s="805"/>
      <c r="N11" s="805"/>
      <c r="O11" s="805"/>
      <c r="P11" s="805"/>
      <c r="Q11" s="747"/>
      <c r="R11" s="749"/>
    </row>
    <row r="12" spans="1:18" ht="16" x14ac:dyDescent="0.2">
      <c r="A12" s="106" t="str">
        <f>IF(Francais,"Addresse 2","Address 2")</f>
        <v>Addresse 2</v>
      </c>
      <c r="B12" s="795" t="s">
        <v>777</v>
      </c>
      <c r="C12" s="795"/>
      <c r="D12" s="795"/>
      <c r="E12" s="795"/>
      <c r="F12" s="795"/>
      <c r="G12" s="747" t="s">
        <v>126</v>
      </c>
      <c r="H12" s="747"/>
      <c r="I12" s="747"/>
      <c r="J12" s="749"/>
      <c r="K12" s="106" t="str">
        <f t="shared" si="0"/>
        <v>Addresse 2</v>
      </c>
      <c r="L12" s="805"/>
      <c r="M12" s="805"/>
      <c r="N12" s="805"/>
      <c r="O12" s="805"/>
      <c r="P12" s="805"/>
      <c r="Q12" s="747"/>
      <c r="R12" s="749"/>
    </row>
    <row r="13" spans="1:18" ht="16" x14ac:dyDescent="0.2">
      <c r="A13" s="106" t="str">
        <f>IF(Francais,"Ville","City")</f>
        <v>Ville</v>
      </c>
      <c r="B13" s="795" t="s">
        <v>777</v>
      </c>
      <c r="C13" s="795"/>
      <c r="D13" s="795"/>
      <c r="E13" s="795"/>
      <c r="F13" s="795"/>
      <c r="G13" s="747" t="s">
        <v>126</v>
      </c>
      <c r="H13" s="747"/>
      <c r="I13" s="747"/>
      <c r="J13" s="749"/>
      <c r="K13" s="106" t="str">
        <f t="shared" si="0"/>
        <v>Ville</v>
      </c>
      <c r="L13" s="805"/>
      <c r="M13" s="805"/>
      <c r="N13" s="805"/>
      <c r="O13" s="805"/>
      <c r="P13" s="805"/>
      <c r="Q13" s="747"/>
      <c r="R13" s="749"/>
    </row>
    <row r="14" spans="1:18" ht="16" x14ac:dyDescent="0.2">
      <c r="A14" s="106" t="str">
        <f>IF(Francais,"Tél.","Tel.")</f>
        <v>Tél.</v>
      </c>
      <c r="B14" s="795" t="s">
        <v>777</v>
      </c>
      <c r="C14" s="795"/>
      <c r="D14" s="795"/>
      <c r="E14" s="795"/>
      <c r="F14" s="795"/>
      <c r="G14" s="739" t="str">
        <f>IF(Francais,"Province/État","Province/State")</f>
        <v>Province/État</v>
      </c>
      <c r="H14" s="795" t="s">
        <v>777</v>
      </c>
      <c r="I14" s="795"/>
      <c r="J14" s="797"/>
      <c r="K14" s="106" t="str">
        <f>A14</f>
        <v>Tél.</v>
      </c>
      <c r="L14" s="805"/>
      <c r="M14" s="805"/>
      <c r="N14" s="805"/>
      <c r="O14" s="805"/>
      <c r="P14" s="805"/>
      <c r="Q14" s="739" t="str">
        <f>G14</f>
        <v>Province/État</v>
      </c>
      <c r="R14" s="578"/>
    </row>
    <row r="15" spans="1:18" ht="16" x14ac:dyDescent="0.2">
      <c r="A15" s="106" t="str">
        <f>IF(Francais,"Courriel","Email")</f>
        <v>Courriel</v>
      </c>
      <c r="B15" s="802" t="s">
        <v>777</v>
      </c>
      <c r="C15" s="802"/>
      <c r="D15" s="802"/>
      <c r="E15" s="802"/>
      <c r="F15" s="802"/>
      <c r="G15" s="740" t="str">
        <f>IF(Francais,"Code Postal/Zip","Zip/Postal Code")</f>
        <v>Code Postal/Zip</v>
      </c>
      <c r="H15" s="795" t="s">
        <v>777</v>
      </c>
      <c r="I15" s="795"/>
      <c r="J15" s="797"/>
      <c r="K15" s="106" t="str">
        <f>IF(Francais,"Courriel","Email")</f>
        <v>Courriel</v>
      </c>
      <c r="L15" s="802"/>
      <c r="M15" s="802"/>
      <c r="N15" s="802"/>
      <c r="O15" s="802"/>
      <c r="P15" s="802"/>
      <c r="Q15" s="740" t="str">
        <f>G15</f>
        <v>Code Postal/Zip</v>
      </c>
      <c r="R15" s="792"/>
    </row>
    <row r="16" spans="1:18" ht="16" x14ac:dyDescent="0.2">
      <c r="A16" s="108" t="str">
        <f>IF(Francais,"Id Taxe ou # EORI","Tax Id or EORI #")</f>
        <v>Id Taxe ou # EORI</v>
      </c>
      <c r="B16" s="803" t="s">
        <v>777</v>
      </c>
      <c r="C16" s="803"/>
      <c r="D16" s="803"/>
      <c r="E16" s="803"/>
      <c r="F16" s="803"/>
      <c r="G16" s="743" t="str">
        <f>IF(Francais,"Pays","Country")</f>
        <v>Pays</v>
      </c>
      <c r="H16" s="800" t="s">
        <v>777</v>
      </c>
      <c r="I16" s="800"/>
      <c r="J16" s="801"/>
      <c r="K16" s="108" t="str">
        <f t="shared" si="0"/>
        <v>Id Taxe ou # EORI</v>
      </c>
      <c r="L16" s="813"/>
      <c r="M16" s="813"/>
      <c r="N16" s="813"/>
      <c r="O16" s="813"/>
      <c r="P16" s="813"/>
      <c r="Q16" s="743" t="str">
        <f>G16</f>
        <v>Pays</v>
      </c>
      <c r="R16" s="748"/>
    </row>
    <row r="17" spans="1:10" ht="15.5" customHeight="1" x14ac:dyDescent="0.2">
      <c r="A17" s="14" t="str">
        <f>IF(Francais, "Id Taxe requis pour tous les expéditions vers les États-Unis.", "Tax Id required for all shipments to USA.")</f>
        <v>Id Taxe requis pour tous les expéditions vers les États-Unis.</v>
      </c>
    </row>
    <row r="18" spans="1:10" ht="15.5" customHeight="1" x14ac:dyDescent="0.2">
      <c r="A18" s="14" t="str">
        <f>IF(Francais, "Numéro EORI requis pour toutes les expéditions vers un pays de l'Union Européenne.", "EORI number required for all shipments to European Union countries.")</f>
        <v>Numéro EORI requis pour toutes les expéditions vers un pays de l'Union Européenne.</v>
      </c>
    </row>
    <row r="19" spans="1:10" ht="15.5" customHeight="1" x14ac:dyDescent="0.2">
      <c r="B19" t="s">
        <v>464</v>
      </c>
    </row>
    <row r="20" spans="1:10" ht="15.5" customHeight="1" x14ac:dyDescent="0.2">
      <c r="A20" s="202" t="str">
        <f>IF(Francais,"UTILISATEUR:","END USER:")</f>
        <v>UTILISATEUR:</v>
      </c>
      <c r="B20" t="str">
        <f>IF(Francais,"(si différent d'acheteur)","(If different from buyer)")</f>
        <v>(si différent d'acheteur)</v>
      </c>
    </row>
    <row r="21" spans="1:10" ht="15.5" customHeight="1" x14ac:dyDescent="0.2">
      <c r="A21" s="744" t="s">
        <v>783</v>
      </c>
      <c r="B21" s="796" t="s">
        <v>777</v>
      </c>
      <c r="C21" s="796"/>
      <c r="D21" s="796"/>
      <c r="E21" s="796"/>
      <c r="F21" s="796"/>
      <c r="G21" s="745" t="s">
        <v>777</v>
      </c>
      <c r="H21" s="814" t="s">
        <v>777</v>
      </c>
      <c r="I21" s="814"/>
      <c r="J21" s="815"/>
    </row>
    <row r="22" spans="1:10" ht="15.5" customHeight="1" x14ac:dyDescent="0.2">
      <c r="A22" s="107" t="str">
        <f>IF(Francais,"Titre","Title")</f>
        <v>Titre</v>
      </c>
      <c r="B22" s="746" t="s">
        <v>777</v>
      </c>
      <c r="C22" s="810" t="str">
        <f>IF(Francais,"Prénom","First Name")</f>
        <v>Prénom</v>
      </c>
      <c r="D22" s="810"/>
      <c r="E22" s="810"/>
      <c r="F22" s="738" t="s">
        <v>777</v>
      </c>
      <c r="G22" s="739" t="str">
        <f>IF(Francais,"Nom","Last Name")</f>
        <v>Nom</v>
      </c>
      <c r="H22" s="795" t="s">
        <v>777</v>
      </c>
      <c r="I22" s="795"/>
      <c r="J22" s="797"/>
    </row>
    <row r="23" spans="1:10" ht="15.5" customHeight="1" x14ac:dyDescent="0.2">
      <c r="A23" s="107" t="str">
        <f>IF(Francais,"Institution/Entreprise","Institution/Company")</f>
        <v>Institution/Entreprise</v>
      </c>
      <c r="B23" s="795" t="s">
        <v>777</v>
      </c>
      <c r="C23" s="795"/>
      <c r="D23" s="795"/>
      <c r="E23" s="795"/>
      <c r="F23" s="795"/>
      <c r="G23" s="747" t="s">
        <v>126</v>
      </c>
      <c r="H23" s="793"/>
      <c r="I23" s="793"/>
      <c r="J23" s="794"/>
    </row>
    <row r="24" spans="1:10" ht="15.5" customHeight="1" x14ac:dyDescent="0.2">
      <c r="A24" s="106" t="str">
        <f>IF(Francais,"Addresse 1","Address 1")</f>
        <v>Addresse 1</v>
      </c>
      <c r="B24" s="795" t="s">
        <v>777</v>
      </c>
      <c r="C24" s="795"/>
      <c r="D24" s="795"/>
      <c r="E24" s="795"/>
      <c r="F24" s="795"/>
      <c r="G24" s="747" t="s">
        <v>126</v>
      </c>
      <c r="H24" s="793"/>
      <c r="I24" s="793"/>
      <c r="J24" s="794"/>
    </row>
    <row r="25" spans="1:10" ht="15.5" customHeight="1" x14ac:dyDescent="0.2">
      <c r="A25" s="106" t="str">
        <f>IF(Francais,"Addresse 2","Address 2")</f>
        <v>Addresse 2</v>
      </c>
      <c r="B25" s="795" t="s">
        <v>777</v>
      </c>
      <c r="C25" s="795"/>
      <c r="D25" s="795"/>
      <c r="E25" s="795"/>
      <c r="F25" s="795"/>
      <c r="G25" s="747" t="s">
        <v>126</v>
      </c>
      <c r="H25" s="793"/>
      <c r="I25" s="793"/>
      <c r="J25" s="794"/>
    </row>
    <row r="26" spans="1:10" ht="15.5" customHeight="1" x14ac:dyDescent="0.2">
      <c r="A26" s="106" t="str">
        <f>IF(Francais,"Ville","City")</f>
        <v>Ville</v>
      </c>
      <c r="B26" s="795" t="s">
        <v>777</v>
      </c>
      <c r="C26" s="795"/>
      <c r="D26" s="795"/>
      <c r="E26" s="795"/>
      <c r="F26" s="795"/>
      <c r="G26" s="739" t="str">
        <f>IF(Francais,"Province/État","Province/State")</f>
        <v>Province/État</v>
      </c>
      <c r="H26" s="798" t="s">
        <v>777</v>
      </c>
      <c r="I26" s="798"/>
      <c r="J26" s="799"/>
    </row>
    <row r="27" spans="1:10" ht="15.5" customHeight="1" x14ac:dyDescent="0.2">
      <c r="A27" s="106" t="str">
        <f>IF(Francais,"Tél.","Tel.")</f>
        <v>Tél.</v>
      </c>
      <c r="B27" s="795" t="s">
        <v>777</v>
      </c>
      <c r="C27" s="795"/>
      <c r="D27" s="795"/>
      <c r="E27" s="795"/>
      <c r="F27" s="795"/>
      <c r="G27" s="740" t="str">
        <f>IF(Francais,"Code Postal/Zip","Zip/Postal Code")</f>
        <v>Code Postal/Zip</v>
      </c>
      <c r="H27" s="795" t="s">
        <v>777</v>
      </c>
      <c r="I27" s="795"/>
      <c r="J27" s="797"/>
    </row>
    <row r="28" spans="1:10" ht="15.5" customHeight="1" x14ac:dyDescent="0.2">
      <c r="A28" s="108" t="str">
        <f>IF(Francais,"Courriel","Email")</f>
        <v>Courriel</v>
      </c>
      <c r="B28" s="803" t="s">
        <v>777</v>
      </c>
      <c r="C28" s="803"/>
      <c r="D28" s="803"/>
      <c r="E28" s="803"/>
      <c r="F28" s="803"/>
      <c r="G28" s="743" t="str">
        <f>IF(Francais,"Pays","Country")</f>
        <v>Pays</v>
      </c>
      <c r="H28" s="803" t="s">
        <v>777</v>
      </c>
      <c r="I28" s="803"/>
      <c r="J28" s="804"/>
    </row>
    <row r="29" spans="1:10" ht="15.5" customHeight="1" x14ac:dyDescent="0.2">
      <c r="B29" t="s">
        <v>126</v>
      </c>
    </row>
    <row r="30" spans="1:10" ht="15.5" customHeight="1" x14ac:dyDescent="0.2">
      <c r="A30" s="202" t="str">
        <f>IF(Francais,"UTILISATEUR #2:","END USER #2:")</f>
        <v>UTILISATEUR #2:</v>
      </c>
    </row>
    <row r="31" spans="1:10" ht="15.5" customHeight="1" x14ac:dyDescent="0.2">
      <c r="A31" s="744" t="s">
        <v>783</v>
      </c>
      <c r="B31" s="796" t="s">
        <v>777</v>
      </c>
      <c r="C31" s="796"/>
      <c r="D31" s="796"/>
      <c r="E31" s="796"/>
      <c r="F31" s="796"/>
      <c r="G31" s="745" t="s">
        <v>777</v>
      </c>
      <c r="H31" s="745" t="s">
        <v>777</v>
      </c>
      <c r="I31" s="745" t="s">
        <v>777</v>
      </c>
      <c r="J31" s="780" t="s">
        <v>777</v>
      </c>
    </row>
    <row r="32" spans="1:10" ht="15.5" customHeight="1" x14ac:dyDescent="0.2">
      <c r="A32" s="107" t="str">
        <f>IF(Francais,"Titre","Title")</f>
        <v>Titre</v>
      </c>
      <c r="B32" s="746" t="s">
        <v>777</v>
      </c>
      <c r="C32" s="810" t="str">
        <f>IF(Francais,"Prénom","First Name")</f>
        <v>Prénom</v>
      </c>
      <c r="D32" s="810"/>
      <c r="E32" s="810"/>
      <c r="F32" s="738" t="s">
        <v>777</v>
      </c>
      <c r="G32" s="739" t="str">
        <f>IF(Francais,"Nom","Last Name")</f>
        <v>Nom</v>
      </c>
      <c r="H32" s="795" t="s">
        <v>777</v>
      </c>
      <c r="I32" s="795"/>
      <c r="J32" s="797"/>
    </row>
    <row r="33" spans="1:10" ht="15.5" customHeight="1" x14ac:dyDescent="0.2">
      <c r="A33" s="107" t="str">
        <f>IF(Francais,"Institution/Entreprise","Institution/Company")</f>
        <v>Institution/Entreprise</v>
      </c>
      <c r="B33" s="795" t="s">
        <v>777</v>
      </c>
      <c r="C33" s="795"/>
      <c r="D33" s="795"/>
      <c r="E33" s="795"/>
      <c r="F33" s="795"/>
      <c r="G33" s="747" t="s">
        <v>126</v>
      </c>
      <c r="H33" s="793"/>
      <c r="I33" s="793"/>
      <c r="J33" s="794"/>
    </row>
    <row r="34" spans="1:10" ht="15.5" customHeight="1" x14ac:dyDescent="0.2">
      <c r="A34" s="106" t="str">
        <f>IF(Francais,"Addresse 1","Address 1")</f>
        <v>Addresse 1</v>
      </c>
      <c r="B34" s="795" t="s">
        <v>777</v>
      </c>
      <c r="C34" s="795"/>
      <c r="D34" s="795"/>
      <c r="E34" s="795"/>
      <c r="F34" s="795"/>
      <c r="G34" s="747" t="s">
        <v>126</v>
      </c>
      <c r="H34" s="793"/>
      <c r="I34" s="793"/>
      <c r="J34" s="794"/>
    </row>
    <row r="35" spans="1:10" ht="15.5" customHeight="1" x14ac:dyDescent="0.2">
      <c r="A35" s="106" t="str">
        <f>IF(Francais,"Addresse 2","Address 2")</f>
        <v>Addresse 2</v>
      </c>
      <c r="B35" s="795" t="s">
        <v>777</v>
      </c>
      <c r="C35" s="795"/>
      <c r="D35" s="795"/>
      <c r="E35" s="795"/>
      <c r="F35" s="795"/>
      <c r="G35" s="747" t="s">
        <v>126</v>
      </c>
      <c r="H35" s="793"/>
      <c r="I35" s="793"/>
      <c r="J35" s="794"/>
    </row>
    <row r="36" spans="1:10" ht="15.5" customHeight="1" x14ac:dyDescent="0.2">
      <c r="A36" s="106" t="str">
        <f>IF(Francais,"Ville","City")</f>
        <v>Ville</v>
      </c>
      <c r="B36" s="795" t="s">
        <v>777</v>
      </c>
      <c r="C36" s="795"/>
      <c r="D36" s="795"/>
      <c r="E36" s="795"/>
      <c r="F36" s="795"/>
      <c r="G36" s="739" t="str">
        <f>IF(Francais,"Province/État","Province/State")</f>
        <v>Province/État</v>
      </c>
      <c r="H36" s="798" t="s">
        <v>777</v>
      </c>
      <c r="I36" s="798"/>
      <c r="J36" s="799"/>
    </row>
    <row r="37" spans="1:10" ht="15.5" customHeight="1" x14ac:dyDescent="0.2">
      <c r="A37" s="106" t="str">
        <f>IF(Francais,"Tél.","Tel.")</f>
        <v>Tél.</v>
      </c>
      <c r="B37" s="795" t="s">
        <v>777</v>
      </c>
      <c r="C37" s="795"/>
      <c r="D37" s="795"/>
      <c r="E37" s="795"/>
      <c r="F37" s="795"/>
      <c r="G37" s="740" t="str">
        <f>IF(Francais,"Code Postal/Zip","Zip/Postal Code")</f>
        <v>Code Postal/Zip</v>
      </c>
      <c r="H37" s="795" t="s">
        <v>777</v>
      </c>
      <c r="I37" s="795"/>
      <c r="J37" s="797"/>
    </row>
    <row r="38" spans="1:10" ht="15.5" customHeight="1" x14ac:dyDescent="0.2">
      <c r="A38" s="108" t="str">
        <f>IF(Francais,"Courriel","Email")</f>
        <v>Courriel</v>
      </c>
      <c r="B38" s="803" t="s">
        <v>777</v>
      </c>
      <c r="C38" s="803"/>
      <c r="D38" s="803"/>
      <c r="E38" s="803"/>
      <c r="F38" s="803"/>
      <c r="G38" s="743" t="str">
        <f>IF(Francais,"Pays","Country")</f>
        <v>Pays</v>
      </c>
      <c r="H38" s="803" t="s">
        <v>777</v>
      </c>
      <c r="I38" s="803"/>
      <c r="J38" s="804"/>
    </row>
    <row r="39" spans="1:10" ht="15.5" customHeight="1" x14ac:dyDescent="0.2"/>
    <row r="40" spans="1:10" ht="15.5" customHeight="1" x14ac:dyDescent="0.2">
      <c r="A40" s="202" t="str">
        <f>IF(Francais,"UTILISATEUR #3:","END USER #3:")</f>
        <v>UTILISATEUR #3:</v>
      </c>
    </row>
    <row r="41" spans="1:10" ht="15.5" customHeight="1" x14ac:dyDescent="0.2">
      <c r="A41" s="744" t="s">
        <v>783</v>
      </c>
      <c r="B41" s="796" t="s">
        <v>777</v>
      </c>
      <c r="C41" s="796"/>
      <c r="D41" s="796"/>
      <c r="E41" s="796"/>
      <c r="F41" s="796"/>
      <c r="G41" s="745" t="s">
        <v>777</v>
      </c>
      <c r="H41" s="745" t="s">
        <v>777</v>
      </c>
      <c r="I41" s="745" t="s">
        <v>777</v>
      </c>
      <c r="J41" s="780" t="s">
        <v>777</v>
      </c>
    </row>
    <row r="42" spans="1:10" ht="15.5" customHeight="1" x14ac:dyDescent="0.2">
      <c r="A42" s="107" t="str">
        <f>IF(Francais,"Titre","Title")</f>
        <v>Titre</v>
      </c>
      <c r="B42" s="746" t="s">
        <v>777</v>
      </c>
      <c r="C42" s="810" t="str">
        <f>IF(Francais,"Prénom","First Name")</f>
        <v>Prénom</v>
      </c>
      <c r="D42" s="810"/>
      <c r="E42" s="810"/>
      <c r="F42" s="738" t="s">
        <v>777</v>
      </c>
      <c r="G42" s="739" t="str">
        <f>IF(Francais,"Nom","Last Name")</f>
        <v>Nom</v>
      </c>
      <c r="H42" s="795" t="s">
        <v>777</v>
      </c>
      <c r="I42" s="795"/>
      <c r="J42" s="797"/>
    </row>
    <row r="43" spans="1:10" ht="15.5" customHeight="1" x14ac:dyDescent="0.2">
      <c r="A43" s="107" t="str">
        <f>IF(Francais,"Institution/Entreprise","Institution/Company")</f>
        <v>Institution/Entreprise</v>
      </c>
      <c r="B43" s="795" t="s">
        <v>777</v>
      </c>
      <c r="C43" s="795"/>
      <c r="D43" s="795"/>
      <c r="E43" s="795"/>
      <c r="F43" s="795"/>
      <c r="G43" s="747" t="s">
        <v>126</v>
      </c>
      <c r="H43" s="793"/>
      <c r="I43" s="793"/>
      <c r="J43" s="794"/>
    </row>
    <row r="44" spans="1:10" ht="15.5" customHeight="1" x14ac:dyDescent="0.2">
      <c r="A44" s="106" t="str">
        <f>IF(Francais,"Addresse 1","Address 1")</f>
        <v>Addresse 1</v>
      </c>
      <c r="B44" s="795" t="s">
        <v>777</v>
      </c>
      <c r="C44" s="795"/>
      <c r="D44" s="795"/>
      <c r="E44" s="795"/>
      <c r="F44" s="795"/>
      <c r="G44" s="747" t="s">
        <v>126</v>
      </c>
      <c r="H44" s="793"/>
      <c r="I44" s="793"/>
      <c r="J44" s="794"/>
    </row>
    <row r="45" spans="1:10" ht="15.5" customHeight="1" x14ac:dyDescent="0.2">
      <c r="A45" s="106" t="str">
        <f>IF(Francais,"Addresse 2","Address 2")</f>
        <v>Addresse 2</v>
      </c>
      <c r="B45" s="795" t="s">
        <v>777</v>
      </c>
      <c r="C45" s="795"/>
      <c r="D45" s="795"/>
      <c r="E45" s="795"/>
      <c r="F45" s="795"/>
      <c r="G45" s="747" t="s">
        <v>126</v>
      </c>
      <c r="H45" s="793"/>
      <c r="I45" s="793"/>
      <c r="J45" s="794"/>
    </row>
    <row r="46" spans="1:10" ht="15.5" customHeight="1" x14ac:dyDescent="0.2">
      <c r="A46" s="106" t="str">
        <f>IF(Francais,"Ville","City")</f>
        <v>Ville</v>
      </c>
      <c r="B46" s="795" t="s">
        <v>777</v>
      </c>
      <c r="C46" s="795"/>
      <c r="D46" s="795"/>
      <c r="E46" s="795"/>
      <c r="F46" s="795"/>
      <c r="G46" s="739" t="str">
        <f>IF(Francais,"Province/État","Province/State")</f>
        <v>Province/État</v>
      </c>
      <c r="H46" s="798" t="s">
        <v>777</v>
      </c>
      <c r="I46" s="798"/>
      <c r="J46" s="799"/>
    </row>
    <row r="47" spans="1:10" ht="15.5" customHeight="1" x14ac:dyDescent="0.2">
      <c r="A47" s="106" t="str">
        <f>IF(Francais,"Tél.","Tel.")</f>
        <v>Tél.</v>
      </c>
      <c r="B47" s="795" t="s">
        <v>777</v>
      </c>
      <c r="C47" s="795"/>
      <c r="D47" s="795"/>
      <c r="E47" s="795"/>
      <c r="F47" s="795"/>
      <c r="G47" s="740" t="str">
        <f>IF(Francais,"Code Postal/Zip","Zip/Postal Code")</f>
        <v>Code Postal/Zip</v>
      </c>
      <c r="H47" s="795" t="s">
        <v>777</v>
      </c>
      <c r="I47" s="795"/>
      <c r="J47" s="797"/>
    </row>
    <row r="48" spans="1:10" ht="15.5" customHeight="1" x14ac:dyDescent="0.2">
      <c r="A48" s="108" t="str">
        <f>IF(Francais,"Courriel","Email")</f>
        <v>Courriel</v>
      </c>
      <c r="B48" s="803" t="s">
        <v>777</v>
      </c>
      <c r="C48" s="803"/>
      <c r="D48" s="803"/>
      <c r="E48" s="803"/>
      <c r="F48" s="803"/>
      <c r="G48" s="743" t="str">
        <f>IF(Francais,"Pays","Country")</f>
        <v>Pays</v>
      </c>
      <c r="H48" s="803" t="s">
        <v>777</v>
      </c>
      <c r="I48" s="803"/>
      <c r="J48" s="804"/>
    </row>
    <row r="49" spans="1:10" ht="15.5" customHeight="1" x14ac:dyDescent="0.2"/>
    <row r="50" spans="1:10" ht="15.5" customHeight="1" x14ac:dyDescent="0.2">
      <c r="A50" s="202" t="str">
        <f>IF(Francais,"UTILISATEUR #4:","END USER #4:")</f>
        <v>UTILISATEUR #4:</v>
      </c>
    </row>
    <row r="51" spans="1:10" ht="15.5" customHeight="1" x14ac:dyDescent="0.2">
      <c r="A51" s="744" t="s">
        <v>783</v>
      </c>
      <c r="B51" s="796" t="s">
        <v>777</v>
      </c>
      <c r="C51" s="796"/>
      <c r="D51" s="796"/>
      <c r="E51" s="796"/>
      <c r="F51" s="796"/>
      <c r="G51" s="745" t="s">
        <v>777</v>
      </c>
      <c r="H51" s="745" t="s">
        <v>777</v>
      </c>
      <c r="I51" s="745" t="s">
        <v>777</v>
      </c>
      <c r="J51" s="780" t="s">
        <v>777</v>
      </c>
    </row>
    <row r="52" spans="1:10" ht="15.5" customHeight="1" x14ac:dyDescent="0.2">
      <c r="A52" s="107" t="str">
        <f>IF(Francais,"Titre","Title")</f>
        <v>Titre</v>
      </c>
      <c r="B52" s="746" t="s">
        <v>777</v>
      </c>
      <c r="C52" s="810" t="str">
        <f>IF(Francais,"Prénom","First Name")</f>
        <v>Prénom</v>
      </c>
      <c r="D52" s="810"/>
      <c r="E52" s="810"/>
      <c r="F52" s="738" t="s">
        <v>777</v>
      </c>
      <c r="G52" s="739" t="str">
        <f>IF(Francais,"Nom","Last Name")</f>
        <v>Nom</v>
      </c>
      <c r="H52" s="795" t="s">
        <v>777</v>
      </c>
      <c r="I52" s="795"/>
      <c r="J52" s="797"/>
    </row>
    <row r="53" spans="1:10" ht="15.5" customHeight="1" x14ac:dyDescent="0.2">
      <c r="A53" s="107" t="str">
        <f>IF(Francais,"Institution/Entreprise","Institution/Company")</f>
        <v>Institution/Entreprise</v>
      </c>
      <c r="B53" s="795" t="s">
        <v>777</v>
      </c>
      <c r="C53" s="795"/>
      <c r="D53" s="795"/>
      <c r="E53" s="795"/>
      <c r="F53" s="795"/>
      <c r="G53" s="747" t="s">
        <v>126</v>
      </c>
      <c r="H53" s="793"/>
      <c r="I53" s="793"/>
      <c r="J53" s="794"/>
    </row>
    <row r="54" spans="1:10" ht="15.5" customHeight="1" x14ac:dyDescent="0.2">
      <c r="A54" s="106" t="str">
        <f>IF(Francais,"Addresse 1","Address 1")</f>
        <v>Addresse 1</v>
      </c>
      <c r="B54" s="795" t="s">
        <v>777</v>
      </c>
      <c r="C54" s="795"/>
      <c r="D54" s="795"/>
      <c r="E54" s="795"/>
      <c r="F54" s="795"/>
      <c r="G54" s="747" t="s">
        <v>126</v>
      </c>
      <c r="H54" s="793"/>
      <c r="I54" s="793"/>
      <c r="J54" s="794"/>
    </row>
    <row r="55" spans="1:10" ht="15.5" customHeight="1" x14ac:dyDescent="0.2">
      <c r="A55" s="106" t="str">
        <f>IF(Francais,"Addresse 2","Address 2")</f>
        <v>Addresse 2</v>
      </c>
      <c r="B55" s="795" t="s">
        <v>777</v>
      </c>
      <c r="C55" s="795"/>
      <c r="D55" s="795"/>
      <c r="E55" s="795"/>
      <c r="F55" s="795"/>
      <c r="G55" s="747" t="s">
        <v>126</v>
      </c>
      <c r="H55" s="793"/>
      <c r="I55" s="793"/>
      <c r="J55" s="794"/>
    </row>
    <row r="56" spans="1:10" ht="15.5" customHeight="1" x14ac:dyDescent="0.2">
      <c r="A56" s="106" t="str">
        <f>IF(Francais,"Ville","City")</f>
        <v>Ville</v>
      </c>
      <c r="B56" s="795" t="s">
        <v>777</v>
      </c>
      <c r="C56" s="795"/>
      <c r="D56" s="795"/>
      <c r="E56" s="795"/>
      <c r="F56" s="795"/>
      <c r="G56" s="739" t="str">
        <f>IF(Francais,"Province/État","Province/State")</f>
        <v>Province/État</v>
      </c>
      <c r="H56" s="798" t="s">
        <v>777</v>
      </c>
      <c r="I56" s="798"/>
      <c r="J56" s="799"/>
    </row>
    <row r="57" spans="1:10" ht="15.5" customHeight="1" x14ac:dyDescent="0.2">
      <c r="A57" s="106" t="str">
        <f>IF(Francais,"Tél.","Tel.")</f>
        <v>Tél.</v>
      </c>
      <c r="B57" s="795" t="s">
        <v>777</v>
      </c>
      <c r="C57" s="795"/>
      <c r="D57" s="795"/>
      <c r="E57" s="795"/>
      <c r="F57" s="795"/>
      <c r="G57" s="740" t="str">
        <f>IF(Francais,"Code Postal/Zip","Zip/Postal Code")</f>
        <v>Code Postal/Zip</v>
      </c>
      <c r="H57" s="795" t="s">
        <v>777</v>
      </c>
      <c r="I57" s="795"/>
      <c r="J57" s="797"/>
    </row>
    <row r="58" spans="1:10" ht="15.5" customHeight="1" x14ac:dyDescent="0.2">
      <c r="A58" s="108" t="str">
        <f>IF(Francais,"Courriel","Email")</f>
        <v>Courriel</v>
      </c>
      <c r="B58" s="803" t="s">
        <v>777</v>
      </c>
      <c r="C58" s="803"/>
      <c r="D58" s="803"/>
      <c r="E58" s="803"/>
      <c r="F58" s="803"/>
      <c r="G58" s="743" t="str">
        <f>IF(Francais,"Pays","Country")</f>
        <v>Pays</v>
      </c>
      <c r="H58" s="803" t="s">
        <v>777</v>
      </c>
      <c r="I58" s="803"/>
      <c r="J58" s="804"/>
    </row>
    <row r="59" spans="1:10" ht="15.5" customHeight="1" x14ac:dyDescent="0.2">
      <c r="H59" t="s">
        <v>126</v>
      </c>
    </row>
  </sheetData>
  <sheetProtection algorithmName="SHA-512" hashValue="MeRI3QwUbddZxmihhvDugFmJTHcAyHzZ2WLJ2O7pU0JJPZdjTa/AVDgqfJLnLKcbIx74lz5aVHXmhokqCmhB0g==" saltValue="w9PLU+eZgWT/3eaFkdAkiQ==" spinCount="100000" sheet="1" scenarios="1" selectLockedCells="1"/>
  <sortState xmlns:xlrd2="http://schemas.microsoft.com/office/spreadsheetml/2017/richdata2" ref="H60:H108">
    <sortCondition ref="H60:H108"/>
  </sortState>
  <mergeCells count="85">
    <mergeCell ref="B58:F58"/>
    <mergeCell ref="H58:J58"/>
    <mergeCell ref="H21:J21"/>
    <mergeCell ref="B21:F21"/>
    <mergeCell ref="B41:F41"/>
    <mergeCell ref="B51:F51"/>
    <mergeCell ref="B55:F55"/>
    <mergeCell ref="B56:F56"/>
    <mergeCell ref="H56:J56"/>
    <mergeCell ref="B57:F57"/>
    <mergeCell ref="H57:J57"/>
    <mergeCell ref="C52:E52"/>
    <mergeCell ref="H52:J52"/>
    <mergeCell ref="B53:F53"/>
    <mergeCell ref="B54:F54"/>
    <mergeCell ref="H54:J54"/>
    <mergeCell ref="B47:F47"/>
    <mergeCell ref="H47:J47"/>
    <mergeCell ref="B48:F48"/>
    <mergeCell ref="H48:J48"/>
    <mergeCell ref="C42:E42"/>
    <mergeCell ref="H42:J42"/>
    <mergeCell ref="B43:F43"/>
    <mergeCell ref="B44:F44"/>
    <mergeCell ref="H44:J44"/>
    <mergeCell ref="B45:F45"/>
    <mergeCell ref="B46:F46"/>
    <mergeCell ref="H46:J46"/>
    <mergeCell ref="H43:J43"/>
    <mergeCell ref="H45:J45"/>
    <mergeCell ref="C32:E32"/>
    <mergeCell ref="B37:F37"/>
    <mergeCell ref="H37:J37"/>
    <mergeCell ref="B33:F33"/>
    <mergeCell ref="B34:F34"/>
    <mergeCell ref="H34:J34"/>
    <mergeCell ref="B35:F35"/>
    <mergeCell ref="H33:J33"/>
    <mergeCell ref="H35:J35"/>
    <mergeCell ref="L15:P15"/>
    <mergeCell ref="B28:F28"/>
    <mergeCell ref="H28:J28"/>
    <mergeCell ref="H22:J22"/>
    <mergeCell ref="H24:J24"/>
    <mergeCell ref="H27:J27"/>
    <mergeCell ref="B27:F27"/>
    <mergeCell ref="C22:E22"/>
    <mergeCell ref="B23:F23"/>
    <mergeCell ref="B24:F24"/>
    <mergeCell ref="B25:F25"/>
    <mergeCell ref="B26:F26"/>
    <mergeCell ref="L16:P16"/>
    <mergeCell ref="B16:F16"/>
    <mergeCell ref="H15:J15"/>
    <mergeCell ref="H25:J25"/>
    <mergeCell ref="A3:R3"/>
    <mergeCell ref="A4:R4"/>
    <mergeCell ref="B10:F10"/>
    <mergeCell ref="C9:E9"/>
    <mergeCell ref="M9:O9"/>
    <mergeCell ref="L10:P10"/>
    <mergeCell ref="B6:E6"/>
    <mergeCell ref="F6:R6"/>
    <mergeCell ref="H9:J9"/>
    <mergeCell ref="L11:P11"/>
    <mergeCell ref="L12:P12"/>
    <mergeCell ref="L13:P13"/>
    <mergeCell ref="L14:P14"/>
    <mergeCell ref="H14:J14"/>
    <mergeCell ref="H53:J53"/>
    <mergeCell ref="H55:J55"/>
    <mergeCell ref="B11:F11"/>
    <mergeCell ref="B12:F12"/>
    <mergeCell ref="B13:F13"/>
    <mergeCell ref="B14:F14"/>
    <mergeCell ref="H23:J23"/>
    <mergeCell ref="B31:F31"/>
    <mergeCell ref="H32:J32"/>
    <mergeCell ref="H26:J26"/>
    <mergeCell ref="H16:J16"/>
    <mergeCell ref="B15:F15"/>
    <mergeCell ref="B38:F38"/>
    <mergeCell ref="H38:J38"/>
    <mergeCell ref="B36:F36"/>
    <mergeCell ref="H36:J36"/>
  </mergeCells>
  <conditionalFormatting sqref="P9 R9 R14:R16 L16 L9:L14">
    <cfRule type="expression" dxfId="152" priority="5">
      <formula>IF(Checkbox_SameAsBillTo=TRUE,1,0)</formula>
    </cfRule>
  </conditionalFormatting>
  <dataValidations count="1">
    <dataValidation type="list" showInputMessage="1" errorTitle="Country" error="Choose a country with the dropdown button on the right. If you cannot find it, choose &quot;Other (Not listed here)&quot; instead." promptTitle="Country" prompt="Start typing your country, then click the arrow on the right to choose it." sqref="H16" xr:uid="{95E229BC-162A-4CB0-9872-9B54547503E5}">
      <formula1>SHIP_CountryFiltered</formula1>
    </dataValidation>
  </dataValidations>
  <pageMargins left="0.7" right="0.7" top="0.75" bottom="0.75" header="0.3" footer="0.3"/>
  <pageSetup scale="40" fitToHeight="0"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409866" r:id="rId4" name="Button 30538">
              <controlPr defaultSize="0" print="0" autoFill="0" autoPict="0" macro="[0]!Button_ShipToVersEndUser_Click">
                <anchor moveWithCells="1" sizeWithCells="1">
                  <from>
                    <xdr:col>10</xdr:col>
                    <xdr:colOff>101600</xdr:colOff>
                    <xdr:row>18</xdr:row>
                    <xdr:rowOff>63500</xdr:rowOff>
                  </from>
                  <to>
                    <xdr:col>11</xdr:col>
                    <xdr:colOff>165100</xdr:colOff>
                    <xdr:row>19</xdr:row>
                    <xdr:rowOff>76200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tabColor theme="7" tint="-0.499984740745262"/>
    <pageSetUpPr fitToPage="1"/>
  </sheetPr>
  <dimension ref="A1:P15"/>
  <sheetViews>
    <sheetView showGridLines="0" zoomScaleNormal="100" workbookViewId="0">
      <selection activeCell="D5" sqref="D5"/>
    </sheetView>
  </sheetViews>
  <sheetFormatPr baseColWidth="10" defaultColWidth="0" defaultRowHeight="16" zeroHeight="1" x14ac:dyDescent="0.2"/>
  <cols>
    <col min="1" max="1" width="15.1640625" customWidth="1"/>
    <col min="2" max="2" width="5.6640625" style="1" customWidth="1"/>
    <col min="3" max="3" width="39.1640625" style="1" customWidth="1"/>
    <col min="4" max="4" width="11.1640625" style="1" customWidth="1"/>
    <col min="5" max="5" width="52.1640625" style="1" customWidth="1"/>
    <col min="6" max="7" width="14.1640625" style="1" customWidth="1"/>
    <col min="8" max="8" width="14.1640625" style="1" bestFit="1" customWidth="1"/>
    <col min="9" max="9" width="14.1640625" customWidth="1"/>
    <col min="10" max="10" width="17.5" customWidth="1"/>
    <col min="11" max="16" width="10.6640625" customWidth="1"/>
    <col min="17" max="16384" width="10.6640625" hidden="1"/>
  </cols>
  <sheetData>
    <row r="1" spans="1:16" ht="21.5" customHeight="1" x14ac:dyDescent="0.2">
      <c r="B1" s="319" t="str">
        <f>$A$13 &amp; IF(Francais," Liste de Prix V. "," Price List V. ") &amp; YearOfList &amp;
IF(Francais, " en devise "," in ") &amp; IF(IndexCurrency=3,"USD",IF(IndexCurrency=2,"Euro","CAD")) &amp; IF(Francais, ""," Currency")</f>
        <v>WinRHIZO Tron™ Liste de Prix V. 2026 en devise USD</v>
      </c>
      <c r="C1" s="320"/>
      <c r="G1" s="321"/>
      <c r="H1" s="15"/>
      <c r="J1" s="911" t="str">
        <f>IF(Francais,
"2) Si vous avez déjà "&amp; SUBSTITUTE(A13,"™","") &amp; ", indiquez combien de licences (pour un rabais)." &amp; CONCATENATE(CHAR(10), REPT(" ",5), "↓"),
"2) If you already own "&amp; SUBSTITUTE(A13,"™","") &amp; ", indicate how many licences (to get a discount)." &amp; CONCATENATE(CHAR(10), REPT(" ", 5), "↓"))</f>
        <v>2) Si vous avez déjà WinRHIZO Tron, indiquez combien de licences (pour un rabais).
     ↓</v>
      </c>
      <c r="K1" s="627"/>
    </row>
    <row r="2" spans="1:16" s="1" customFormat="1" ht="30" customHeight="1" x14ac:dyDescent="0.2">
      <c r="A2" s="922" t="str">
        <f>IF(Francais,
"1) Choisir combien de license(s) et le modèle du logiciel à acheter" &amp; IF(Checkbox_Updates=TRUE," / mettre à jour.","."),
"1) Select how many license(s) and which model to buy" &amp; IF(Checkbox_Updates=TRUE," or update to.",".") )
&amp; " →"&amp; CHAR(10)  &amp; IF(Checkbox_Updates=TRUE,IF(Francais,
"Pour mettre " &amp; "→" &amp; CHAR(10) &amp; "à jour des licenses, cochez la case, entrée l'année et sélectionnez le modèle que vous possédez.",
"To update " &amp; "→" &amp; CHAR(10)  &amp; "license(s), "  &amp; "check this box, enter the year and select the model you own."),
"")</f>
        <v>1) Choisir combien de license(s) et le modèle du logiciel à acheter / mettre à jour. →
Pour mettre →
à jour des licenses, cochez la case, entrée l'année et sélectionnez le modèle que vous possédez.</v>
      </c>
      <c r="B2" s="585"/>
      <c r="C2" s="586" t="str">
        <f>IF(Francais,"Logiciel","Software")</f>
        <v>Logiciel</v>
      </c>
      <c r="D2" s="587"/>
      <c r="E2" s="587"/>
      <c r="F2" s="587"/>
      <c r="G2" s="587"/>
      <c r="H2" s="587"/>
      <c r="I2" s="622"/>
      <c r="J2" s="911"/>
      <c r="K2" s="627"/>
    </row>
    <row r="3" spans="1:16" s="1" customFormat="1" ht="18" customHeight="1" x14ac:dyDescent="0.2">
      <c r="A3" s="922"/>
      <c r="B3" s="601"/>
      <c r="E3" s="590" t="str">
        <f>REPT(" ",15) &amp; IF(Francais,"Modèle","Model")</f>
        <v xml:space="preserve">               Modèle</v>
      </c>
      <c r="G3" s="15" t="str">
        <f>IF(Francais,"Prix Unit. de Liste","Item List Price")</f>
        <v>Prix Unit. de Liste</v>
      </c>
      <c r="H3" s="15" t="str">
        <f>IF(Francais,"Prix de liste","List Price")</f>
        <v>Prix de liste</v>
      </c>
      <c r="I3" s="591" t="str">
        <f>IF(Francais,"Code Harmonisé","Harmonized Code")</f>
        <v>Code Harmonisé</v>
      </c>
      <c r="J3" s="911"/>
      <c r="K3" s="627"/>
    </row>
    <row r="4" spans="1:16" ht="18" customHeight="1" x14ac:dyDescent="0.2">
      <c r="A4" s="922"/>
      <c r="B4" s="623"/>
      <c r="C4" s="624" t="str">
        <f>IF(Francais,"License(s) Logiciel " &amp; $A$13,$A$13&amp;" Software License(s)")</f>
        <v>License(s) Logiciel WinRHIZO Tron™</v>
      </c>
      <c r="D4" s="625"/>
      <c r="E4" s="625"/>
      <c r="F4" s="625"/>
      <c r="G4" s="153">
        <f>IF(RHIZOTRON_ChkBox_UpgradeUpdate,IFERROR(H4/(RHIZOTRON_N_UpgradeUpdate-1),0),
IFERROR(H4/(RHIZOTRON_N_Software-1),0))</f>
        <v>0</v>
      </c>
      <c r="H4" s="190">
        <f>IF(RHIZOTRON_ChkBox_UpgradeUpdate,QCalc!F196,
ROUND((INDEX(RHIZOTRON_SoftwarePriceList,RHIZOTRON_IndexSoftware))*
IF(RHIZOTRON_N_Software-1=0,0,SUM(MMULT(
  _xlfn.MUNIT(
   RHIZOTRON_N_Software-1),
    INDEX(TableLists[Column10],RHIZOTRON_N_AlreadyHaveSoftware-1+2):
    INDEX(TableLists[Column10],(RHIZOTRON_N_AlreadyHaveSoftware-1+1)+(RHIZOTRON_N_Software-1))
))),0))</f>
        <v>0</v>
      </c>
      <c r="I4" s="626">
        <v>852349</v>
      </c>
      <c r="J4" s="911"/>
      <c r="K4" s="627"/>
    </row>
    <row r="5" spans="1:16" ht="18" customHeight="1" x14ac:dyDescent="0.2">
      <c r="A5" s="922"/>
      <c r="B5" s="600"/>
      <c r="C5" s="708" t="str">
        <f>IF(Francais,"Mise à jour d'une vieille version",
"Update from an older version")</f>
        <v>Mise à jour d'une vieille version</v>
      </c>
      <c r="D5" s="752">
        <v>2019</v>
      </c>
      <c r="E5" s="203" t="str">
        <f>IF(RHIZOTRON_N_UpgradeUpdate&gt;1,
IF(N("Si on downgrade model")+RHIZOTRON_IndexModelSoftware&lt;RHIZOTRON_IndexModelClient,"Downgrading model is not possible",""),"")</f>
        <v/>
      </c>
      <c r="F5" s="128" t="str">
        <f>IF(Francais,"Coût mise à jour","Update cost")</f>
        <v>Coût mise à jour</v>
      </c>
      <c r="G5" s="170">
        <f>IF(N("Si Downgrade prix=0 else Prix")+OR(
IF(N("Si on downgrade model")+RHIZOTRON_IndexModelSoftware&lt;RHIZOTRON_IndexModelClient,1,0),
IF(N("Si no update")+RHIZOTRON_YearMostRecent&lt;=RHIZOTRON_YearClient,1,0)
),0,
N("PrixUpdate:")+(MAX(INDEX(RHIZOTRON_SoftwarePriceList,RHIZOTRON_IndexClientVersion)*(1-(1-UpdateResidualValueAfterAnneesMax))*(MIN(RHIZOTRON_YearMostRecent-RHIZOTRON_YearClient,UpdateNAnnesMax))/UpdateNAnnesMax,UpdateMinPrice)+CteUpdate)*(VARS_PriceRise2026_Updates)
)</f>
        <v>480</v>
      </c>
      <c r="H5" s="712"/>
      <c r="I5" s="709"/>
      <c r="J5" s="911"/>
      <c r="K5" s="627"/>
    </row>
    <row r="6" spans="1:16" ht="18" customHeight="1" x14ac:dyDescent="0.2">
      <c r="A6" s="922"/>
      <c r="B6" s="596"/>
      <c r="C6" s="1" t="str">
        <f>IF(RHIZOTRON_ChkBox_UpgradeUpdate, REPT(" ",6) &amp; IF(Francais,
"Si Mise à jour, la licence actuelle devient inutilisable. Votre clé doit être renvoyée pour un échange ou reprogrammée pour la nouvelle version.",
"When updating, you can't use your current license anymore. Your key must be returned for an exchange or reprogrammed for the new version."
),"")</f>
        <v/>
      </c>
      <c r="D6" s="680"/>
      <c r="E6" s="680"/>
      <c r="F6" s="128" t="str">
        <f>IF(Francais,"Coût mise à niveau","Upgrade cost")</f>
        <v>Coût mise à niveau</v>
      </c>
      <c r="G6" s="171">
        <f>IF(N("Si Downgrade prix=0 else Prix")+OR(
IF(N("Si on downgrade model")+RHIZOTRON_IndexModelSoftware&lt;RHIZOTRON_IndexModelClient,1,0)),0,
N("PrixUpgrade :")+(IF(AND((RHIZOTRON_IndexSoftware-RHIZOTRON_IndexClientVersion)&gt;0,RHIZOTRON_IndexSoftware&lt;&gt;RHIZOTRON_IndexClientVersion),INDEX(RHIZOTRON_SoftwarePriceList,RHIZOTRON_IndexSoftware)-INDEX(RHIZOTRON_SoftwarePriceList,RHIZOTRON_IndexClientVersion),0))
)</f>
        <v>539</v>
      </c>
      <c r="H6" s="712"/>
      <c r="I6" s="709"/>
      <c r="J6" s="911"/>
      <c r="K6" s="627"/>
    </row>
    <row r="7" spans="1:16" ht="18" customHeight="1" x14ac:dyDescent="0.2">
      <c r="A7" s="922"/>
      <c r="B7" s="596"/>
      <c r="C7" s="1" t="str">
        <f>"• " &amp; A13 &amp; " " &amp; IF(Francais,
"License Logiciel (32 et 64-bit, pour Windows 8 à 11). Manuesl d'instructions (PDF &amp; Imprimé). Pas d'activation " &amp; "&amp;" &amp;" connexion Internet requise. Licence perpétuelle (valide indéfiniment sans frais supplémentaires).",
"Software license (32 and 64-bit, for Windows 8 to 11). Instructions manuals (PDF &amp; Printed). No activation " &amp; "&amp;" &amp;" Internet connection required. Perpetual license (use it as long as you want without afterward fees)."
)</f>
        <v>• WinRHIZO Tron™ License Logiciel (32 et 64-bit, pour Windows 8 à 11). Manuesl d'instructions (PDF &amp; Imprimé). Pas d'activation &amp; connexion Internet requise. Licence perpétuelle (valide indéfiniment sans frais supplémentaires).</v>
      </c>
      <c r="D7" s="201"/>
      <c r="E7" s="201"/>
      <c r="I7" s="597"/>
      <c r="J7" s="911"/>
      <c r="K7" s="627"/>
    </row>
    <row r="8" spans="1:16" ht="18" customHeight="1" x14ac:dyDescent="0.2">
      <c r="A8" s="922"/>
      <c r="B8" s="596"/>
      <c r="C8" s="1" t="str">
        <f>"• XLRHIZO Tron™: " &amp; IF(Francais,"Logiciel pour analyse des données de " &amp;A13&amp; " (requiert MS Excel, non-inclus)","Software for " &amp;A13&amp; "'s data Analysis (requires MS Excel, not included)" )</f>
        <v>• XLRHIZO Tron™: Logiciel pour analyse des données de WinRHIZO Tron™ (requiert MS Excel, non-inclus)</v>
      </c>
      <c r="D8" s="201"/>
      <c r="E8" s="201"/>
      <c r="F8" s="918" t="str">
        <f>IF(Checkbox_Instructions,HYPERLINK("https://regentinstruments.com/assets/winrhizotron_about2.html?utm_source=PriceQuoteXLS",IF(Francais,"Cliquez pour voir les caractéristiques par modèle de logiciel","Click to view features per software model")),"")</f>
        <v>Cliquez pour voir les caractéristiques par modèle de logiciel</v>
      </c>
      <c r="G8" s="918"/>
      <c r="H8" s="918"/>
      <c r="I8" s="919"/>
      <c r="J8" s="143" t="str">
        <f>IF(Francais,"  Je possède", "  I own")</f>
        <v xml:space="preserve">  Je possède</v>
      </c>
      <c r="K8" s="627"/>
    </row>
    <row r="9" spans="1:16" ht="18" customHeight="1" x14ac:dyDescent="0.2">
      <c r="A9" s="922"/>
      <c r="B9" s="598"/>
      <c r="C9" s="1" t="str">
        <f>IF(Francais,
"• Clé de protection USB (dispositif de contrôle du logiciel). Le logiciel peut être installé sur plusieurs ordinateurs du titulaire de la licence, "&amp;"mais seul celui où la clé est connectée fonctionnera (facile de déplacer la clé d'ordinateur).",
"• USB drive &amp; key (software controlling device). Software can be installed on more than one licensee's computers, but only the one which has the key connected to it can run at a time (easy to move the key from one computer to another)."
)</f>
        <v>• Clé de protection USB (dispositif de contrôle du logiciel). Le logiciel peut être installé sur plusieurs ordinateurs du titulaire de la licence, mais seul celui où la clé est connectée fonctionnera (facile de déplacer la clé d'ordinateur).</v>
      </c>
      <c r="D9" s="7"/>
      <c r="E9" s="7"/>
      <c r="I9" s="597"/>
      <c r="K9" s="627"/>
      <c r="L9" s="332"/>
      <c r="M9" s="332"/>
      <c r="N9" s="332"/>
      <c r="O9" s="332"/>
      <c r="P9" s="332"/>
    </row>
    <row r="10" spans="1:16" ht="7.5" customHeight="1" x14ac:dyDescent="0.2">
      <c r="A10" s="922"/>
      <c r="B10" s="602"/>
      <c r="C10" s="603"/>
      <c r="D10" s="604"/>
      <c r="E10" s="604"/>
      <c r="F10" s="604"/>
      <c r="G10" s="604"/>
      <c r="H10" s="604"/>
      <c r="I10" s="605"/>
      <c r="J10" s="924" t="str">
        <f>IF(Francais,"License(s) Logiciel " &amp; A13,A13&amp;" Software License(s)")</f>
        <v>License(s) Logiciel WinRHIZO Tron™</v>
      </c>
    </row>
    <row r="11" spans="1:16" ht="25.5" customHeight="1" x14ac:dyDescent="0.2">
      <c r="A11" s="922"/>
      <c r="B11" s="617"/>
      <c r="F11" s="702"/>
      <c r="G11" s="703" t="str">
        <f>IF(Francais,"SOUS-TOTAL LOGICIEL:","SOFTWARE SUBTOTAL:")</f>
        <v>SOUS-TOTAL LOGICIEL:</v>
      </c>
      <c r="H11" s="704">
        <f>H4</f>
        <v>0</v>
      </c>
      <c r="I11" s="705"/>
      <c r="J11" s="924"/>
    </row>
    <row r="12" spans="1:16" x14ac:dyDescent="0.2">
      <c r="A12" s="922"/>
      <c r="J12" s="924"/>
    </row>
    <row r="13" spans="1:16" ht="28.25" customHeight="1" x14ac:dyDescent="0.2">
      <c r="A13" s="322" t="s">
        <v>175</v>
      </c>
      <c r="B13" s="315"/>
      <c r="C13" s="316"/>
      <c r="D13" s="316"/>
      <c r="E13" s="707" t="str">
        <f>A13 &amp; IF(Francais, " Logiciel et Matériel"," Software &amp; Hardware")</f>
        <v>WinRHIZO Tron™ Logiciel et Matériel</v>
      </c>
      <c r="F13" s="582"/>
      <c r="G13" s="583" t="s">
        <v>771</v>
      </c>
      <c r="H13" s="584">
        <f>(H4)</f>
        <v>0</v>
      </c>
      <c r="I13" s="574"/>
      <c r="J13" s="924"/>
    </row>
    <row r="14" spans="1:16" ht="19" x14ac:dyDescent="0.2">
      <c r="A14" s="334"/>
      <c r="G14" s="720" t="str">
        <f>IF(Francais,"Valide jusqu'au","Valid until")</f>
        <v>Valide jusqu'au</v>
      </c>
      <c r="H14" s="318" t="s">
        <v>795</v>
      </c>
      <c r="J14" s="631"/>
    </row>
    <row r="15" spans="1:16" x14ac:dyDescent="0.2">
      <c r="A15" s="717"/>
      <c r="B15" s="715"/>
      <c r="C15" s="715"/>
      <c r="D15" s="717"/>
      <c r="E15" s="718" t="str">
        <f>HYPERLINK("mailto:sales@regentinstruments.com",IF(Francais,"Pour des questions ou pour placer une commande, contactez: sales@regentinstruments.com","For questions or to place an order contact: sales@regentinstruments.com"))</f>
        <v>Pour des questions ou pour placer une commande, contactez: sales@regentinstruments.com</v>
      </c>
      <c r="F15" s="715"/>
      <c r="G15" s="715"/>
      <c r="H15" s="715"/>
      <c r="I15" s="715"/>
      <c r="J15" s="621"/>
    </row>
  </sheetData>
  <sheetProtection algorithmName="SHA-512" hashValue="Ju0an5iJg3Eos99wwFKz1N6LYcL+Y1Zbxq+0p9SMTJAcQzjHHB/Z8RW/TN6NPbTp7QpIBkfrtELChQfSodKyNA==" saltValue="ijIZaOcZ10qFhST2gBm7hg==" spinCount="100000" sheet="1" objects="1" scenarios="1" selectLockedCells="1"/>
  <mergeCells count="4">
    <mergeCell ref="F8:I8"/>
    <mergeCell ref="J1:J7"/>
    <mergeCell ref="J10:J13"/>
    <mergeCell ref="A2:A12"/>
  </mergeCells>
  <conditionalFormatting sqref="G5:G6">
    <cfRule type="expression" dxfId="119" priority="65">
      <formula>IF(N("Si Downgrade prix=0 else Prix")+OR( IF(N("Si on downgrade model")+RHIZO_IndexModelSoftware&lt;RHIZO_IndexModelClient,1,0), IF(N("Si on downgrade de 64bits à 32bits")+AND(RHIZO_IndexClientVersion&gt;RHIZO_UpgradeNModels,RHIZO_IndexSoftware&lt;=RHIZO_UpgradeNModels),1,0) ),1,0)</formula>
    </cfRule>
  </conditionalFormatting>
  <conditionalFormatting sqref="H13 H11 G4:G6">
    <cfRule type="expression" dxfId="118" priority="66">
      <formula>OR(IndexZone=5)</formula>
    </cfRule>
    <cfRule type="expression" dxfId="117" priority="67">
      <formula>OR(IndexZone=3, IndexZone=8, IndexZone=10)</formula>
    </cfRule>
  </conditionalFormatting>
  <conditionalFormatting sqref="D7:D8">
    <cfRule type="expression" dxfId="116" priority="32">
      <formula>NOT(Checkbox_Descriptions)</formula>
    </cfRule>
  </conditionalFormatting>
  <conditionalFormatting sqref="K1:K2">
    <cfRule type="expression" dxfId="115" priority="15">
      <formula>NOT(Checkbox_Instructions)</formula>
    </cfRule>
  </conditionalFormatting>
  <conditionalFormatting sqref="J1">
    <cfRule type="expression" dxfId="114" priority="10">
      <formula>NOT(Checkbox_Instructions)</formula>
    </cfRule>
  </conditionalFormatting>
  <conditionalFormatting sqref="F5:G6">
    <cfRule type="expression" dxfId="113" priority="7">
      <formula>IF(RHIZOTRON_ChkBox_UpgradeUpdate,0,1)</formula>
    </cfRule>
  </conditionalFormatting>
  <conditionalFormatting sqref="A2">
    <cfRule type="expression" dxfId="112" priority="1">
      <formula>NOT(Checkbox_Instructions)</formula>
    </cfRule>
  </conditionalFormatting>
  <dataValidations disablePrompts="1" count="1">
    <dataValidation type="custom" allowBlank="1" showInputMessage="1" showErrorMessage="1" sqref="F8:I8" xr:uid="{00000000-0002-0000-0400-000000000000}">
      <formula1>"&lt;0&gt;0"</formula1>
    </dataValidation>
  </dataValidations>
  <pageMargins left="0.7" right="0.7" top="0.75" bottom="0.75" header="0.3" footer="0.3"/>
  <pageSetup scale="53" orientation="landscape"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68609" r:id="rId4" name="CheckBoxDetails">
              <controlPr defaultSize="0" autoFill="0" autoLine="0" autoPict="0">
                <anchor moveWithCells="1" sizeWithCells="1">
                  <from>
                    <xdr:col>5</xdr:col>
                    <xdr:colOff>25400</xdr:colOff>
                    <xdr:row>0</xdr:row>
                    <xdr:rowOff>25400</xdr:rowOff>
                  </from>
                  <to>
                    <xdr:col>5</xdr:col>
                    <xdr:colOff>1092200</xdr:colOff>
                    <xdr:row>0</xdr:row>
                    <xdr:rowOff>228600</xdr:rowOff>
                  </to>
                </anchor>
              </controlPr>
            </control>
          </mc:Choice>
        </mc:AlternateContent>
        <mc:AlternateContent xmlns:mc="http://schemas.openxmlformats.org/markup-compatibility/2006">
          <mc:Choice Requires="x14">
            <control shapeId="68612" r:id="rId5" name="Drop Down 4">
              <controlPr defaultSize="0" autoLine="0" autoPict="0">
                <anchor moveWithCells="1">
                  <from>
                    <xdr:col>4</xdr:col>
                    <xdr:colOff>76200</xdr:colOff>
                    <xdr:row>2</xdr:row>
                    <xdr:rowOff>215900</xdr:rowOff>
                  </from>
                  <to>
                    <xdr:col>4</xdr:col>
                    <xdr:colOff>3136900</xdr:colOff>
                    <xdr:row>4</xdr:row>
                    <xdr:rowOff>12700</xdr:rowOff>
                  </to>
                </anchor>
              </controlPr>
            </control>
          </mc:Choice>
        </mc:AlternateContent>
        <mc:AlternateContent xmlns:mc="http://schemas.openxmlformats.org/markup-compatibility/2006">
          <mc:Choice Requires="x14">
            <control shapeId="68619" r:id="rId6" name="DropDown_N_SoftwareOrUpg">
              <controlPr defaultSize="0" autoLine="0" autoPict="0">
                <anchor moveWithCells="1">
                  <from>
                    <xdr:col>1</xdr:col>
                    <xdr:colOff>0</xdr:colOff>
                    <xdr:row>3</xdr:row>
                    <xdr:rowOff>25400</xdr:rowOff>
                  </from>
                  <to>
                    <xdr:col>2</xdr:col>
                    <xdr:colOff>25400</xdr:colOff>
                    <xdr:row>3</xdr:row>
                    <xdr:rowOff>215900</xdr:rowOff>
                  </to>
                </anchor>
              </controlPr>
            </control>
          </mc:Choice>
        </mc:AlternateContent>
        <mc:AlternateContent xmlns:mc="http://schemas.openxmlformats.org/markup-compatibility/2006">
          <mc:Choice Requires="x14">
            <control shapeId="68621" r:id="rId7" name="Drop Down 13">
              <controlPr defaultSize="0" autoLine="0" autoPict="0">
                <anchor moveWithCells="1" sizeWithCells="1">
                  <from>
                    <xdr:col>9</xdr:col>
                    <xdr:colOff>114300</xdr:colOff>
                    <xdr:row>8</xdr:row>
                    <xdr:rowOff>0</xdr:rowOff>
                  </from>
                  <to>
                    <xdr:col>9</xdr:col>
                    <xdr:colOff>863600</xdr:colOff>
                    <xdr:row>8</xdr:row>
                    <xdr:rowOff>215900</xdr:rowOff>
                  </to>
                </anchor>
              </controlPr>
            </control>
          </mc:Choice>
        </mc:AlternateContent>
        <mc:AlternateContent xmlns:mc="http://schemas.openxmlformats.org/markup-compatibility/2006">
          <mc:Choice Requires="x14">
            <control shapeId="68616" r:id="rId8" name="DropDown_IndexClientVersion">
              <controlPr defaultSize="0" autoLine="0" autoPict="0">
                <anchor moveWithCells="1" sizeWithCells="1">
                  <from>
                    <xdr:col>4</xdr:col>
                    <xdr:colOff>76200</xdr:colOff>
                    <xdr:row>4</xdr:row>
                    <xdr:rowOff>0</xdr:rowOff>
                  </from>
                  <to>
                    <xdr:col>4</xdr:col>
                    <xdr:colOff>1473200</xdr:colOff>
                    <xdr:row>5</xdr:row>
                    <xdr:rowOff>0</xdr:rowOff>
                  </to>
                </anchor>
              </controlPr>
            </control>
          </mc:Choice>
        </mc:AlternateContent>
        <mc:AlternateContent xmlns:mc="http://schemas.openxmlformats.org/markup-compatibility/2006">
          <mc:Choice Requires="x14">
            <control shapeId="68620" r:id="rId9" name="ChkB_UpgradeUpdate">
              <controlPr defaultSize="0" autoFill="0" autoLine="0" autoPict="0">
                <anchor moveWithCells="1" sizeWithCells="1">
                  <from>
                    <xdr:col>2</xdr:col>
                    <xdr:colOff>76200</xdr:colOff>
                    <xdr:row>4</xdr:row>
                    <xdr:rowOff>12700</xdr:rowOff>
                  </from>
                  <to>
                    <xdr:col>2</xdr:col>
                    <xdr:colOff>2971800</xdr:colOff>
                    <xdr:row>4</xdr:row>
                    <xdr:rowOff>215900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92D050"/>
    <pageSetUpPr fitToPage="1"/>
  </sheetPr>
  <dimension ref="A1:P44"/>
  <sheetViews>
    <sheetView showGridLines="0" zoomScaleNormal="100" workbookViewId="0">
      <selection activeCell="D5" sqref="D5"/>
    </sheetView>
  </sheetViews>
  <sheetFormatPr baseColWidth="10" defaultColWidth="0" defaultRowHeight="16" zeroHeight="1" x14ac:dyDescent="0.2"/>
  <cols>
    <col min="1" max="1" width="15.1640625" customWidth="1"/>
    <col min="2" max="2" width="5.6640625" style="1" customWidth="1"/>
    <col min="3" max="3" width="39.1640625" style="1" customWidth="1"/>
    <col min="4" max="4" width="11.1640625" style="1" customWidth="1"/>
    <col min="5" max="5" width="52.1640625" style="1" customWidth="1"/>
    <col min="6" max="7" width="14.1640625" style="1" customWidth="1"/>
    <col min="8" max="8" width="14.1640625" style="1" bestFit="1" customWidth="1"/>
    <col min="9" max="9" width="14.1640625" customWidth="1"/>
    <col min="10" max="10" width="17.5" customWidth="1"/>
    <col min="11" max="16" width="10.6640625" customWidth="1"/>
    <col min="17" max="16384" width="10.6640625" hidden="1"/>
  </cols>
  <sheetData>
    <row r="1" spans="1:16" ht="21.5" customHeight="1" x14ac:dyDescent="0.2">
      <c r="A1" s="111"/>
      <c r="B1" s="319" t="str">
        <f>$A$39 &amp; IF(Francais," Liste de Prix V. "," Price List V. ") &amp; YearOfList &amp;
IF(Francais, " en devise "," in ") &amp; IF(IndexCurrency=3,"USD",IF(IndexCurrency=2,"Euro","CAD")) &amp; IF(Francais, ""," Currency")</f>
        <v>WinSEEDLE™ Liste de Prix V. 2026 en devise USD</v>
      </c>
      <c r="C1" s="320"/>
      <c r="G1" s="321"/>
      <c r="H1" s="15"/>
      <c r="J1" s="911" t="str">
        <f>IF(Francais,
"2) Si vous avez déjà "&amp; SUBSTITUTE(A39,"™","") &amp; ", indiquez combien de licences (pour un rabais)." &amp; CONCATENATE(CHAR(10), REPT(" ",9), "↓"),
"2) If you already own "&amp; SUBSTITUTE(A39,"™","") &amp; ", indicate how many licences (to get a discount)." &amp; CONCATENATE(CHAR(10), REPT(" ", 9), "↓"))</f>
        <v>2) Si vous avez déjà WinSEEDLE, indiquez combien de licences (pour un rabais).
         ↓</v>
      </c>
    </row>
    <row r="2" spans="1:16" s="1" customFormat="1" ht="30" customHeight="1" x14ac:dyDescent="0.2">
      <c r="A2" s="922" t="str">
        <f>IF(Francais,
"1) Choisir combien de license(s) et le modèle du logiciel à acheter" &amp; IF(Checkbox_Updates=TRUE," / mettre à jour.","."),
"1) Select how many license(s) and which model to buy" &amp; IF(Checkbox_Updates=TRUE," or update to.",".") )
&amp; " →"&amp; CHAR(10)  &amp; IF(Checkbox_Updates=TRUE,IF(Francais,
"Pour mettre " &amp; "→" &amp; CHAR(10) &amp; "à jour des licenses, cochez la case, entrée l'année et sélectionnez le modèle que vous possédez.",
"To update " &amp; "→" &amp; CHAR(10)  &amp; "license(s), "  &amp; "check this box, enter the year and select the model you own."),
"")</f>
        <v>1) Choisir combien de license(s) et le modèle du logiciel à acheter / mettre à jour. →
Pour mettre →
à jour des licenses, cochez la case, entrée l'année et sélectionnez le modèle que vous possédez.</v>
      </c>
      <c r="B2" s="585"/>
      <c r="C2" s="586" t="str">
        <f>IF(Francais,"Logiciel","Software")</f>
        <v>Logiciel</v>
      </c>
      <c r="D2" s="587"/>
      <c r="E2" s="587"/>
      <c r="F2" s="606"/>
      <c r="G2" s="606"/>
      <c r="H2" s="606"/>
      <c r="I2" s="622"/>
      <c r="J2" s="911"/>
    </row>
    <row r="3" spans="1:16" s="1" customFormat="1" ht="18" customHeight="1" x14ac:dyDescent="0.2">
      <c r="A3" s="922"/>
      <c r="B3" s="639"/>
      <c r="C3" s="628"/>
      <c r="D3" s="629"/>
      <c r="E3" s="590" t="str">
        <f>REPT(" ",15) &amp; IF(Francais,"Modèle","Model")</f>
        <v xml:space="preserve">               Modèle</v>
      </c>
      <c r="F3" s="630"/>
      <c r="G3" s="15" t="str">
        <f>IF(Francais,"Prix Unit. de Liste","Item List Price")</f>
        <v>Prix Unit. de Liste</v>
      </c>
      <c r="H3" s="15" t="str">
        <f>IF(Francais,"Prix de liste","List Price")</f>
        <v>Prix de liste</v>
      </c>
      <c r="I3" s="591" t="str">
        <f>IF(Francais,"Code Harmonisé","Harmonized Code")</f>
        <v>Code Harmonisé</v>
      </c>
      <c r="J3" s="911"/>
    </row>
    <row r="4" spans="1:16" ht="18" customHeight="1" x14ac:dyDescent="0.2">
      <c r="A4" s="922"/>
      <c r="B4" s="640"/>
      <c r="C4" s="632" t="str">
        <f>IF(Francais,"License(s) Logiciel " &amp; $A$39,$A$39&amp;" Software License(s)")</f>
        <v>License(s) Logiciel WinSEEDLE™</v>
      </c>
      <c r="D4" s="633"/>
      <c r="E4" s="633"/>
      <c r="F4" s="633"/>
      <c r="G4" s="160">
        <f>IF(SEEDLE_ChkBox_UpgradeUpdate,IFERROR(H4/(SEEDLE_N_UpgradeUpdate-1),0),
IFERROR(H4/(SEEDLE_N_Software-1),0))</f>
        <v>0</v>
      </c>
      <c r="H4" s="193">
        <f>IF(SEEDLE_ChkBox_UpgradeUpdate,ROUND((G5+G6)*(SEEDLE_N_UpgradeUpdate-1),0),
ROUND((INDEX(SEEDLE_SoftwarePriceList,SEEDLE_IndexSoftware))*
IF(SEEDLE_N_Software-1=0,0,SUM(MMULT(
  _xlfn.MUNIT(
   SEEDLE_N_Software-1),
    INDEX(TableLists[Column10],SEEDLE_N_AlreadyHaveSoftware-1+2):
    INDEX(TableLists[Column10],(SEEDLE_N_AlreadyHaveSoftware-1+1)+(SEEDLE_N_Software-1))
))),0))</f>
        <v>0</v>
      </c>
      <c r="I4" s="641">
        <v>852349</v>
      </c>
      <c r="J4" s="911"/>
    </row>
    <row r="5" spans="1:16" ht="18" customHeight="1" x14ac:dyDescent="0.2">
      <c r="A5" s="922"/>
      <c r="B5" s="600"/>
      <c r="C5" s="708" t="str">
        <f>IF(Francais,"Mise à jour d'une vieille version",
"Update from an older version")</f>
        <v>Mise à jour d'une vieille version</v>
      </c>
      <c r="D5" s="752">
        <v>2019</v>
      </c>
      <c r="E5" s="203" t="str">
        <f>IF(SEEDLE_N_UpgradeUpdate&gt;1,
IF(N("Si on downgrade model")+SEEDLE_IndexModelSoftware&lt;SEEDLE_IndexModelClient,"Downgrading model is not possible",""),"")</f>
        <v/>
      </c>
      <c r="F5" s="128" t="str">
        <f>IF(Francais,"Coût mise à jour","Update cost")</f>
        <v>Coût mise à jour</v>
      </c>
      <c r="G5" s="170">
        <f>IF(N("Si Downgrade prix=0 else Prix")+OR(
IF(N("Si on downgrade model")+SEEDLE_IndexModelSoftware&lt;SEEDLE_IndexModelClient,1,0),
IF(N("Si no update")+SEEDLE_YearMostRecent&lt;=SEEDLE_YearClient,1,0)
),0,
N("PrixUpdate:")+(MAX(INDEX(SEEDLE_SoftwarePriceList,SEEDLE_IndexClientVersion)*(1-(1-UpdateResidualValueAfterAnneesMax))*(MIN(SEEDLE_YearMostRecent-SEEDLE_YearClient,UpdateNAnnesMax))/UpdateNAnnesMax,UpdateMinPrice)+CteUpdate)*(VARS_PriceRise2026_Updates)
)</f>
        <v>480</v>
      </c>
      <c r="H5" s="712"/>
      <c r="I5" s="709"/>
      <c r="J5" s="911"/>
    </row>
    <row r="6" spans="1:16" ht="18" customHeight="1" x14ac:dyDescent="0.2">
      <c r="A6" s="922"/>
      <c r="B6" s="596"/>
      <c r="C6" s="1" t="str">
        <f>IF(SEEDLE_ChkBox_UpgradeUpdate, REPT(" ",6) &amp; IF(Francais,
"Si Mise à jour, la licence actuelle devient inutilisable. Votre clé doit être renvoyée pour un échange ou reprogrammée pour la nouvelle version.",
"When updating, you can't use your current license anymore. Your key must be returned for an exchange or reprogrammed for the new version."
),"")</f>
        <v/>
      </c>
      <c r="D6" s="680"/>
      <c r="E6" s="680"/>
      <c r="F6" s="128" t="str">
        <f>IF(Francais,"Coût mise à niveau","Upgrade cost")</f>
        <v>Coût mise à niveau</v>
      </c>
      <c r="G6" s="171">
        <f>IF(N("Si Downgrade prix=0 else Prix")+OR(
IF(N("Si on downgrade model")+SEEDLE_IndexModelSoftware&lt;SEEDLE_IndexModelClient,1,0)),0,
N("PrixUpgrade :")+(IF(AND((SEEDLE_IndexSoftware-SEEDLE_IndexClientVersion)&gt;0,SEEDLE_IndexSoftware&lt;&gt;SEEDLE_IndexClientVersion),INDEX(SEEDLE_SoftwarePriceList,SEEDLE_IndexSoftware)-INDEX(SEEDLE_SoftwarePriceList,SEEDLE_IndexClientVersion),0))
)</f>
        <v>822</v>
      </c>
      <c r="H6" s="712"/>
      <c r="I6" s="709"/>
      <c r="J6" s="911"/>
    </row>
    <row r="7" spans="1:16" ht="18" customHeight="1" x14ac:dyDescent="0.2">
      <c r="A7" s="922"/>
      <c r="B7" s="596"/>
      <c r="C7" s="1" t="str">
        <f>"• " &amp; A39 &amp; " " &amp; IF(Francais,
"License Logiciel (32 et 64-bit, pour Windows 8 à 11). Manuesl d'instructions (PDF &amp; Imprimé). Pas d'activation " &amp; "&amp;" &amp;" connexion Internet requise. Licence perpétuelle (valide indéfiniment sans frais supplémentaires).",
"Software license (32 and 64-bit, for Windows 8 to 11). Instructions manuals (PDF &amp; Printed). No activation " &amp; "&amp;" &amp;" Internet connection required. Perpetual license (use it as long as you want without afterward fees)."
)</f>
        <v>• WinSEEDLE™ License Logiciel (32 et 64-bit, pour Windows 8 à 11). Manuesl d'instructions (PDF &amp; Imprimé). Pas d'activation &amp; connexion Internet requise. Licence perpétuelle (valide indéfiniment sans frais supplémentaires).</v>
      </c>
      <c r="D7" s="201"/>
      <c r="E7" s="201"/>
      <c r="I7" s="597"/>
      <c r="J7" s="911"/>
    </row>
    <row r="8" spans="1:16" ht="18" customHeight="1" x14ac:dyDescent="0.2">
      <c r="A8" s="922"/>
      <c r="B8" s="596"/>
      <c r="C8" s="1" t="str">
        <f>"• XL" &amp; PROPER(SUBSTITUTE(A39,"Win","")) &amp; " " &amp; IF(Francais,"Logiciel pour analyse des données de " &amp;A39&amp; " (requiert MS Excel, non-inclus)","Software for " &amp;A39&amp; "'s data Analysis (requires MS Excel, not included)" )</f>
        <v>• XLSeedle™ Logiciel pour analyse des données de WinSEEDLE™ (requiert MS Excel, non-inclus)</v>
      </c>
      <c r="D8" s="201"/>
      <c r="E8" s="201"/>
      <c r="F8" s="918" t="str">
        <f>IF(Checkbox_Instructions,HYPERLINK("https://regentinstruments.com/assets/" &amp; LOWER(LEFT($A$39,LEN($A$39)-1)) &amp; "_about.html?utm_source=PriceQuoteXLS",IF(Francais,"Cliquez pour voir les caractéristiques par modèle de logiciel","Click to view features per software model")),"")</f>
        <v>Cliquez pour voir les caractéristiques par modèle de logiciel</v>
      </c>
      <c r="G8" s="918"/>
      <c r="H8" s="918"/>
      <c r="I8" s="919"/>
      <c r="J8" s="143" t="str">
        <f>IF(Francais,"  Je possède", "  I own")</f>
        <v xml:space="preserve">  Je possède</v>
      </c>
    </row>
    <row r="9" spans="1:16" ht="18" customHeight="1" x14ac:dyDescent="0.2">
      <c r="A9" s="922"/>
      <c r="B9" s="598"/>
      <c r="C9" s="1" t="str">
        <f>IF(Francais,
"• Clé de protection USB (dispositif de contrôle du logiciel). Le logiciel peut être installé sur plusieurs ordinateurs du titulaire de la licence, "&amp;"mais seul celui où la clé est connectée fonctionnera (facile de déplacer la clé d'ordinateur).",
"• USB drive &amp; key (software controlling device). Software can be installed on more than one licensee's computers, but only the one which has the key connected to it can run at a time (easy to move the key from one computer to another)."
)</f>
        <v>• Clé de protection USB (dispositif de contrôle du logiciel). Le logiciel peut être installé sur plusieurs ordinateurs du titulaire de la licence, mais seul celui où la clé est connectée fonctionnera (facile de déplacer la clé d'ordinateur).</v>
      </c>
      <c r="D9" s="7"/>
      <c r="E9" s="7"/>
      <c r="I9" s="597"/>
      <c r="K9" s="332"/>
      <c r="L9" s="332"/>
      <c r="M9" s="332"/>
      <c r="N9" s="332"/>
      <c r="O9" s="332"/>
      <c r="P9" s="332"/>
    </row>
    <row r="10" spans="1:16" ht="7.5" customHeight="1" x14ac:dyDescent="0.2">
      <c r="A10" s="922"/>
      <c r="B10" s="643"/>
      <c r="C10" s="618"/>
      <c r="D10" s="618"/>
      <c r="E10" s="604"/>
      <c r="F10" s="604"/>
      <c r="G10" s="604"/>
      <c r="H10" s="604"/>
      <c r="I10" s="605"/>
      <c r="J10" s="924" t="str">
        <f>IF(Francais,"License(s) Logiciel " &amp; A39,A39&amp;" Software License(s)")</f>
        <v>License(s) Logiciel WinSEEDLE™</v>
      </c>
    </row>
    <row r="11" spans="1:16" ht="25.5" customHeight="1" x14ac:dyDescent="0.2">
      <c r="A11" s="922"/>
      <c r="F11" s="702"/>
      <c r="G11" s="703" t="str">
        <f>IF(Francais,"SOUS-TOTAL LOGICIEL:","SOFTWARE SUBTOTAL:")</f>
        <v>SOUS-TOTAL LOGICIEL:</v>
      </c>
      <c r="H11" s="704">
        <f>H4</f>
        <v>0</v>
      </c>
      <c r="I11" s="705"/>
      <c r="J11" s="924"/>
    </row>
    <row r="12" spans="1:16" ht="10" customHeight="1" x14ac:dyDescent="0.2">
      <c r="A12" s="922"/>
      <c r="B12"/>
      <c r="C12"/>
      <c r="D12"/>
      <c r="E12"/>
      <c r="F12"/>
      <c r="G12"/>
      <c r="H12"/>
      <c r="J12" s="924"/>
    </row>
    <row r="13" spans="1:16" ht="30" customHeight="1" x14ac:dyDescent="0.2">
      <c r="A13" s="716"/>
      <c r="B13" s="585"/>
      <c r="C13" s="586" t="str">
        <f>IF(Francais,"Matériel","Hardware")</f>
        <v>Matériel</v>
      </c>
      <c r="D13" s="606"/>
      <c r="E13" s="606"/>
      <c r="F13" s="606"/>
      <c r="G13" s="606"/>
      <c r="H13" s="606"/>
      <c r="I13" s="622"/>
      <c r="J13" s="924"/>
    </row>
    <row r="14" spans="1:16" ht="30.75" customHeight="1" x14ac:dyDescent="0.2">
      <c r="A14" s="921" t="str">
        <f>"3) " &amp;
IF(Francais,"Choisir 1 ou + → pour un système avec ou sans scanner et choisir le modèle. ""Sans"" est lorque vous en avez déjà un ou devez l'acheter localement.","Select 1 or + → to get a system with or without a scanner and choose the model. ""Without"" is when you already have it or buy it locally.")</f>
        <v>3) Choisir 1 ou + → pour un système avec ou sans scanner et choisir le modèle. "Sans" est lorque vous en avez déjà un ou devez l'acheter localement.</v>
      </c>
      <c r="B14" s="642"/>
      <c r="C14" s="632" t="str">
        <f>IF(Francais,"Système(s) " &amp; $A$39, $A$39 &amp; " System(s)")</f>
        <v>Système(s) WinSEEDLE™</v>
      </c>
      <c r="D14" s="925" t="str">
        <f>IF(Francais,
"Incluant:",
"Including:")</f>
        <v>Incluant:</v>
      </c>
      <c r="E14" s="925"/>
      <c r="F14" s="159"/>
      <c r="G14" s="162">
        <f>IFERROR(H14/(SEEDLE_N_System-1),0)</f>
        <v>0</v>
      </c>
      <c r="H14" s="195">
        <f>IF(AND(SEEDLE_N_Software=1,SEEDLE_N_UpgradeUpdate=1,NOT(SuperUser),SEEDLE_N_System&gt;1),IF(Francais,"vendu avec logiciel uniquement","sold with software only"),
ROUND((IF(SEEDLE_ClientWithOrWithoutScanner=1,
       IF(SEEDLE_IndexScanner=1,PrixSTD,PrixLAavecTPU),
       IF(SEEDLE_IndexScanner=1,STD_GenCalib_Drivers_Instr_Techsup,LA_GenCalib_Drivers_Instr_Techsup))
+IF(SEEDLE_PosiOrBlueBG_Checkbox,IF(SEEDLE_IndexScanner=1,PrixRootPosiSTD,PrixRootPosiLA),0)
)*(SEEDLE_N_System-1),0))</f>
        <v>0</v>
      </c>
      <c r="I14" s="641">
        <v>903149</v>
      </c>
      <c r="J14" s="631"/>
    </row>
    <row r="15" spans="1:16" ht="15.75" customHeight="1" x14ac:dyDescent="0.2">
      <c r="A15" s="921"/>
      <c r="B15" s="608"/>
      <c r="C15" s="309" t="str">
        <f>"• Scanner"</f>
        <v>• Scanner</v>
      </c>
      <c r="D15" s="917" t="str">
        <f>IF(SEEDLE_ClientWithOrWithoutScanner=1,
IF(Francais,
"• Documentation, logiciels et accessoires du manufacturier",
"• Manufacturer documentation, software and accessories"),
IF(Francais,"• Scanner non inclus","• No scanner included"))</f>
        <v>• Documentation, logiciels et accessoires du manufacturier</v>
      </c>
      <c r="E15" s="917"/>
      <c r="G15" s="915" t="str">
        <f>IF(Checkbox_Instructions,HYPERLINK("https://regentinstruments.com/assets/ourscanners.html?utm_source=PriceQuoteXLS",IF(Francais,"Cliquez pour voir les spécifications de nos scanners","Click to view our scanners specifications")),"")</f>
        <v>Cliquez pour voir les spécifications de nos scanners</v>
      </c>
      <c r="H15" s="915"/>
      <c r="I15" s="609"/>
      <c r="J15" s="631"/>
    </row>
    <row r="16" spans="1:16" ht="15.75" customHeight="1" x14ac:dyDescent="0.2">
      <c r="A16" s="921"/>
      <c r="B16" s="608"/>
      <c r="C16" s="310" t="str">
        <f>IF(Francais,"   (seulement vendu avec logiciel)","   (sold with software only)")</f>
        <v xml:space="preserve">   (seulement vendu avec logiciel)</v>
      </c>
      <c r="D16" s="917" t="str">
        <f>IF(SEEDLE_ClientWithOrWithoutScanner=1,
IF(Francais,"• Lumière spéciale (LS) pour scanner Racines, Graines ou Aiguilles","• Special Light (SL) for Roots, Seeds and Needles scanning"),
"")</f>
        <v>• Lumière spéciale (LS) pour scanner Racines, Graines ou Aiguilles</v>
      </c>
      <c r="E16" s="917"/>
      <c r="G16" s="915"/>
      <c r="H16" s="915"/>
      <c r="I16" s="597"/>
      <c r="J16" s="631"/>
    </row>
    <row r="17" spans="1:10" ht="15.75" customHeight="1" x14ac:dyDescent="0.2">
      <c r="A17" s="921"/>
      <c r="B17" s="608"/>
      <c r="C17" s="923" t="str">
        <f>IF(AND(SEEDLE_IndexScanner=2,SEEDLE_ClientWithOrWithoutScanner_ChkBox),
IF(Francais,"Restrictions d'exportation applicables: le Scanner LA peut ne pas être expédiable dans votre pays","Export Restrictions Apply: The LA Scanner cannot be sold worldwide, it might not ship to your country"),
"")</f>
        <v/>
      </c>
      <c r="D17" s="44" t="str">
        <f>IF(Francais,
"• Calibration, Manuel Installation &amp; Utilisation Scanner pour " &amp; A39 &amp; IF(OR(A39="WinRHIZO™",A39="WinSEEDLE™")," &amp; vidéo","") &amp; ", Pilote TWAIN et support technique pour l'acquisition d'image de Graines &amp; Aiguilles.",
"• Calibration, Scanner Installation &amp; Utilisation for " &amp; A39 &amp; " manual" &amp; IF(OR(A39="WinRHIZO™",A39="WinSEEDLE™")," &amp; video","") &amp; ", TWAIN driver and Technical support for Seeds &amp; Needles image acquisition.")</f>
        <v>• Calibration, Manuel Installation &amp; Utilisation Scanner pour WinSEEDLE™ &amp; vidéo, Pilote TWAIN et support technique pour l'acquisition d'image de Graines &amp; Aiguilles.</v>
      </c>
      <c r="I17" s="611"/>
    </row>
    <row r="18" spans="1:10" ht="8" customHeight="1" x14ac:dyDescent="0.2">
      <c r="A18" s="921"/>
      <c r="B18" s="608"/>
      <c r="C18" s="923"/>
      <c r="E18" s="130"/>
      <c r="F18" s="130"/>
      <c r="I18" s="597"/>
    </row>
    <row r="19" spans="1:10" ht="0.75" customHeight="1" x14ac:dyDescent="0.2">
      <c r="A19" s="921"/>
      <c r="B19" s="608"/>
      <c r="I19" s="597"/>
    </row>
    <row r="20" spans="1:10" ht="0.75" customHeight="1" x14ac:dyDescent="0.2">
      <c r="A20" s="921"/>
      <c r="B20" s="608"/>
      <c r="H20" s="150"/>
      <c r="I20" s="611"/>
    </row>
    <row r="21" spans="1:10" ht="15.75" customHeight="1" x14ac:dyDescent="0.2">
      <c r="A21" s="921"/>
      <c r="B21" s="608"/>
      <c r="C21" s="1" t="str">
        <f>IF(Francais,"• Positionneur de Graines &amp; Aiguilles pour scanner ","• Seeds &amp; Needles Positioning System for ") &amp; IF(RHIZO_IndexScanner=1,"STD","LA") &amp; IF(Francais,""," Scanner")</f>
        <v>• Positionneur de Graines &amp; Aiguilles pour scanner STD</v>
      </c>
      <c r="D21" s="1" t="str">
        <f>IF(SEEDLE_PosiOrBlueBG_Checkbox,
IF(SEEDLE_IndexScanner=1,
IF(Francais,"• Positionneur de Graines &amp; Aiguilles pour scanner STD (3 Plats, Cadre, Blocs, Espaceurs, Fond bleu)","• Seeds &amp; Needles Positioning System for STD scanner (3 Trays, Frame, Blocks, Spacers, Blue background)"),
IF(Francais,"• Positionneur de Graines &amp; Aiguilles pour scanner LA (5 Plats, Cadre, Blocs, Espaceurs, Fond bleu)","• Seeds &amp; Needles Positioning System for LA scanner (5 Trays, Frame, Blocks, Spacers, Blue background)")),
IF(Francais,"• Positionneur de Graines &amp; Aiguilles non inclus","• No Seeds &amp; Needles Positioning System included"))</f>
        <v>• Positionneur de Graines &amp; Aiguilles pour scanner STD (3 Plats, Cadre, Blocs, Espaceurs, Fond bleu)</v>
      </c>
      <c r="H21" s="15"/>
      <c r="I21" s="591"/>
    </row>
    <row r="22" spans="1:10" ht="18" customHeight="1" x14ac:dyDescent="0.2">
      <c r="A22" s="921"/>
      <c r="B22" s="644"/>
      <c r="C22" s="632" t="str">
        <f>IF(Francais, "Accessoires Optionnels","Optional Accessories")</f>
        <v>Accessoires Optionnels</v>
      </c>
      <c r="D22" s="634"/>
      <c r="E22" s="159"/>
      <c r="F22" s="159"/>
      <c r="G22" s="635" t="str">
        <f>IF(Francais,"Sous-Total Accessoires : ","Sub-Total Accessories : ")</f>
        <v xml:space="preserve">Sous-Total Accessoires : </v>
      </c>
      <c r="H22" s="160">
        <f>ROUND(G24*(SEEDLE_Option1-1)
+G25*(SEEDLE_Option2-1)
+G26*(SEEDLE_Option3-1)
+G27*(SEEDLE_Option4-1)
+G28*(SEEDLE_Option5-1)
+G29*(SEEDLE_Option6-1)
+G30*(SEEDLE_Option7-1)
+G31*(SEEDLE_Option8-1)
+G32*(SEEDLE_Option9-1)
+G33*(SEEDLE_Option10-1)
+G34*(SEEDLE_Option11-1),0)</f>
        <v>0</v>
      </c>
      <c r="I22" s="641">
        <v>847330</v>
      </c>
    </row>
    <row r="23" spans="1:10" ht="15.75" customHeight="1" x14ac:dyDescent="0.2">
      <c r="A23" s="456"/>
      <c r="B23" s="601"/>
      <c r="C23" s="375" t="str">
        <f>IF(Francais,"Pour obtenir plus que ce qui est inclus dans un système","To get more than what is included in a system")</f>
        <v>Pour obtenir plus que ce qui est inclus dans un système</v>
      </c>
      <c r="D23" s="16" t="str">
        <f>IF(Francais,"   (avec l'achat ou la possession de WinSEEDLE uniquement)","   (if you buy or own WinSEEDLE only)")</f>
        <v xml:space="preserve">   (avec l'achat ou la possession de WinSEEDLE uniquement)</v>
      </c>
      <c r="E23" s="43"/>
      <c r="G23" s="15" t="str">
        <f>IF(Francais,"Prix Unitaire","Unit Price")</f>
        <v>Prix Unitaire</v>
      </c>
      <c r="H23"/>
      <c r="I23" s="611"/>
    </row>
    <row r="24" spans="1:10" ht="15.75" customHeight="1" x14ac:dyDescent="0.2">
      <c r="A24" s="912" t="str">
        <f xml:space="preserve"> "4) " &amp;
IF(Francais,"Choisir accessoires en extra si désiré. →","Choose extra accessories if you want. →")</f>
        <v>4) Choisir accessoires en extra si désiré. →</v>
      </c>
      <c r="B24" s="601"/>
      <c r="C24" s="917" t="str">
        <f>IF(Francais,"Petits Plats pour Scanner STD &amp; LA","Small Trays for STD &amp; LA Scanner")</f>
        <v>Petits Plats pour Scanner STD &amp; LA</v>
      </c>
      <c r="D24" s="351" t="str">
        <f>IF(Francais,
"Ensemble de 2 Petits plats"  &amp; REPT(" ",35) &amp; " 15x20, 20x25 cm",
"Set of 2 Small trays" &amp; REPT(" ",34) &amp; " 15x20, 20x25 cm"
)</f>
        <v>Ensemble de 2 Petits plats                                    15x20, 20x25 cm</v>
      </c>
      <c r="E24" s="351"/>
      <c r="G24" s="135">
        <f>IF(SEEDLE_Option12&lt;=NMaxTray,PrixTraySet2Small,0)</f>
        <v>171</v>
      </c>
      <c r="H24" s="136"/>
      <c r="I24" s="611"/>
    </row>
    <row r="25" spans="1:10" ht="15.75" customHeight="1" x14ac:dyDescent="0.2">
      <c r="A25" s="912"/>
      <c r="B25" s="601"/>
      <c r="C25" s="917"/>
      <c r="D25" s="352" t="str">
        <f>IF(Francais,
"Ensemble de 3 Petits plats"  &amp; REPT(" ",35) &amp; " 10x15, 15x20, 20x25 cm",
"Set of 3 Small trays" &amp; REPT(" ",34) &amp; " 10x15, 15x20, 20x25 cm"
)</f>
        <v>Ensemble de 3 Petits plats                                    10x15, 15x20, 20x25 cm</v>
      </c>
      <c r="E25" s="352"/>
      <c r="G25" s="135">
        <f>IF(SEEDLE_Option12&lt;=NMaxTray,PrixTraySet3Small,0)</f>
        <v>250</v>
      </c>
      <c r="H25" s="136"/>
      <c r="I25" s="611"/>
      <c r="J25" s="413" t="str">
        <f>REPT(" ",0) &amp; IF(Francais,"Plats non-imbriqués","Not Nested Trays")</f>
        <v>Plats non-imbriqués</v>
      </c>
    </row>
    <row r="26" spans="1:10" ht="15.75" customHeight="1" x14ac:dyDescent="0.2">
      <c r="A26" s="912"/>
      <c r="B26" s="601"/>
      <c r="C26" s="917"/>
      <c r="D26" s="352" t="str">
        <f>IF(Francais,
"Petit plat individuel"  &amp; REPT(" ",47) &amp; " 10x15 cm",
"Individual Small tray" &amp; REPT(" ",31) &amp; " 10x15 cm"
)</f>
        <v>Petit plat individuel                                                10x15 cm</v>
      </c>
      <c r="E26" s="352"/>
      <c r="G26" s="135">
        <f>IF(SEEDLE_Option12&lt;=NMaxTray,PrixTray10x15cm,0)</f>
        <v>78</v>
      </c>
      <c r="H26" s="136"/>
      <c r="I26" s="611"/>
      <c r="J26" t="str">
        <f>REPT(" ",2) &amp; IF(Francais,"Ils sont empilés.","They are piled up.")</f>
        <v xml:space="preserve">  Ils sont empilés.</v>
      </c>
    </row>
    <row r="27" spans="1:10" ht="15.75" customHeight="1" x14ac:dyDescent="0.2">
      <c r="A27" s="111"/>
      <c r="B27" s="601"/>
      <c r="C27" s="917"/>
      <c r="D27" s="352" t="str">
        <f>IF(Francais,
"Petit plat individuel"  &amp; REPT(" ",47) &amp; " 15x20 cm",
"Individual Small tray" &amp; REPT(" ",31) &amp; " 15x20 cm"
)</f>
        <v>Petit plat individuel                                                15x20 cm</v>
      </c>
      <c r="E27" s="352"/>
      <c r="G27" s="135">
        <f>IF(SEEDLE_Option12&lt;=NMaxTray,PrixTray15x20cm,0)</f>
        <v>85</v>
      </c>
      <c r="H27" s="136"/>
      <c r="I27" s="611"/>
    </row>
    <row r="28" spans="1:10" ht="15.75" customHeight="1" x14ac:dyDescent="0.2">
      <c r="A28" s="111"/>
      <c r="B28" s="601"/>
      <c r="C28" s="917"/>
      <c r="D28" s="353" t="str">
        <f>IF(Francais,
"Petit plat individuel"  &amp; REPT(" ",47) &amp; " 20x25 cm",
"Individual Small tray" &amp; REPT(" ",31) &amp; " 20x25 cm"
)</f>
        <v>Petit plat individuel                                                20x25 cm</v>
      </c>
      <c r="E28" s="353"/>
      <c r="G28" s="135">
        <f>IF(SEEDLE_Option12&lt;=NMaxTray,PrixTray20x25cm,0)</f>
        <v>92</v>
      </c>
      <c r="H28" s="136"/>
      <c r="I28" s="611"/>
    </row>
    <row r="29" spans="1:10" ht="15.75" customHeight="1" x14ac:dyDescent="0.2">
      <c r="A29" s="111"/>
      <c r="B29" s="601"/>
      <c r="C29" s="913" t="str">
        <f>IF(Francais,"Moyens &amp; Larges Plats pour Scanner LA","Medium &amp; Large Trays for LA Scanner")</f>
        <v>Moyens &amp; Larges Plats pour Scanner LA</v>
      </c>
      <c r="D29" s="358" t="str">
        <f>IF(Francais,
"Ensemble de 2 Moyens &amp; Larges plats"  &amp; REPT(" ",15) &amp; " 25x35, 30x40 cm",
"Set of 2 Medium &amp; Large trays" &amp; REPT(" ",13) &amp; " 25x35, 30x40 cm"
)</f>
        <v>Ensemble de 2 Moyens &amp; Larges plats                25x35, 30x40 cm</v>
      </c>
      <c r="E29" s="358"/>
      <c r="G29" s="135">
        <f>IF(AND(SEEDLE_IndexScanner=2, SEEDLE_Option12&lt;=NMaxTray),PrixTraySet2MedLarge,0)</f>
        <v>0</v>
      </c>
      <c r="H29" s="136"/>
      <c r="I29" s="611"/>
    </row>
    <row r="30" spans="1:10" ht="15.75" customHeight="1" x14ac:dyDescent="0.2">
      <c r="A30" s="111"/>
      <c r="B30" s="601"/>
      <c r="C30" s="913"/>
      <c r="D30" s="358" t="str">
        <f>IF(Francais,
"Ensemble de 3 Moyens &amp; Larges plats"  &amp; REPT(" ",15) &amp; " 20x30, 25x35, 30x40 cm",
"Set of 3 Medium &amp; Large trays" &amp; REPT(" ",13) &amp; " 20x30, 25x35, 30x40 cm"
)</f>
        <v>Ensemble de 3 Moyens &amp; Larges plats                20x30, 25x35, 30x40 cm</v>
      </c>
      <c r="E30" s="358"/>
      <c r="G30" s="135">
        <f>IF(AND(SEEDLE_IndexScanner=2, SEEDLE_Option12&lt;=NMaxTray),PrixTraySet3MedLarge,0)</f>
        <v>0</v>
      </c>
      <c r="H30" s="136"/>
      <c r="I30" s="611"/>
      <c r="J30" s="414" t="str">
        <f>REPT(" ",0) &amp; IF(Francais,"Plats Imbriqués","Nested Trays")</f>
        <v>Plats Imbriqués</v>
      </c>
    </row>
    <row r="31" spans="1:10" ht="15.75" customHeight="1" x14ac:dyDescent="0.2">
      <c r="A31" s="111"/>
      <c r="B31" s="601"/>
      <c r="C31" s="913"/>
      <c r="D31" s="358" t="str">
        <f>IF(Francais,
"Ensemble 5 Petits Moyens Larges plats"  &amp; REPT(" ",12) &amp; "  10x15, 15x20, 20x30, 25x35, 30x40 cm",
"Set of 5 Small Medium Large trays" &amp; REPT(" ",4) &amp; "  10x15, 15x20, 20x30, 25x35, 30x40 cm"
)</f>
        <v>Ensemble 5 Petits Moyens Larges plats              10x15, 15x20, 20x30, 25x35, 30x40 cm</v>
      </c>
      <c r="E31" s="358"/>
      <c r="G31" s="135">
        <f>IF(AND(SEEDLE_IndexScanner=2, SEEDLE_Option12&lt;=NMaxTray),PrixTraySet5SmallMedLarge,0)</f>
        <v>0</v>
      </c>
      <c r="H31" s="136"/>
      <c r="I31" s="611"/>
      <c r="J31" t="str">
        <f>REPT(" ",2) &amp; IF(Francais,"Ils sont imbriqués les","They are embedded")</f>
        <v xml:space="preserve">  Ils sont imbriqués les</v>
      </c>
    </row>
    <row r="32" spans="1:10" ht="15.75" customHeight="1" x14ac:dyDescent="0.2">
      <c r="A32" s="111"/>
      <c r="B32" s="601"/>
      <c r="C32" s="913"/>
      <c r="D32" s="358" t="str">
        <f>IF(Francais,
"Moyen plat individuel"  &amp; REPT(" ",43) &amp; " 20x30 cm",
"Individual Medium tray" &amp; REPT(" ",26) &amp; " 20x30 cm"
)</f>
        <v>Moyen plat individuel                                            20x30 cm</v>
      </c>
      <c r="E32" s="358"/>
      <c r="G32" s="135">
        <f>IF(AND(SEEDLE_IndexScanner=2, SEEDLE_Option12&lt;=NMaxTray),PrixTray20x30cm,0)</f>
        <v>0</v>
      </c>
      <c r="H32" s="136"/>
      <c r="I32" s="611"/>
      <c r="J32" t="str">
        <f>REPT(" ",2) &amp; IF(Francais," uns dans les autres."," one into another.")</f>
        <v xml:space="preserve">   uns dans les autres.</v>
      </c>
    </row>
    <row r="33" spans="1:9" ht="15.75" customHeight="1" x14ac:dyDescent="0.2">
      <c r="A33" s="111"/>
      <c r="B33" s="601"/>
      <c r="C33" s="913"/>
      <c r="D33" s="358" t="str">
        <f>IF(Francais,
"Moyen plat individuel"  &amp; REPT(" ",43) &amp; " 25x35 cm",
"Individual Medium tray" &amp; REPT(" ",26) &amp; " 25x35 cm"
)</f>
        <v>Moyen plat individuel                                            25x35 cm</v>
      </c>
      <c r="E33" s="358"/>
      <c r="G33" s="135">
        <f>IF(AND(SEEDLE_IndexScanner=2, SEEDLE_Option12&lt;=NMaxTray),PrixTray25x35cm,0)</f>
        <v>0</v>
      </c>
      <c r="H33" s="136"/>
      <c r="I33" s="611"/>
    </row>
    <row r="34" spans="1:9" ht="15.75" customHeight="1" x14ac:dyDescent="0.2">
      <c r="A34" s="111"/>
      <c r="B34" s="601"/>
      <c r="C34" s="913"/>
      <c r="D34" s="371" t="str">
        <f>IF(Francais,
"Large plat individuel"  &amp; REPT(" ",46) &amp; " 30x40 cm",
"Individual Large tray" &amp; REPT(" ",32) &amp; " 30x40 cm"
)</f>
        <v>Large plat individuel                                               30x40 cm</v>
      </c>
      <c r="E34" s="636"/>
      <c r="G34" s="637">
        <f>IF(AND(SEEDLE_IndexScanner=2, SEEDLE_Option12&lt;=NMaxTray),PrixTray30x40cm,0)</f>
        <v>0</v>
      </c>
      <c r="H34" s="638"/>
      <c r="I34" s="597"/>
    </row>
    <row r="35" spans="1:9" ht="15.75" customHeight="1" x14ac:dyDescent="0.2">
      <c r="A35" s="111"/>
      <c r="B35" s="601"/>
      <c r="E35" s="359" t="str">
        <f>IF(Francais,
"Nombre de plats (ne peut pas dépasser " &amp; NMaxTray &amp; ") : ",
"Number of selected trays (cannot exceed " &amp; NMaxTray &amp; ") : "
)</f>
        <v xml:space="preserve">Nombre de plats (ne peut pas dépasser 10) : </v>
      </c>
      <c r="F35" s="360">
        <f>SEEDLE_Option12</f>
        <v>0</v>
      </c>
      <c r="G35" s="361" t="str">
        <f>IF(SEEDLE_Option12&lt;=NMaxTray,"",IF(Francais,"TROP DE PLATS (MAXIMUM DE " &amp; NMaxTray &amp; "). Veuillez en retirer.","TOO MANY TRAYS (MAXIMUM IS " &amp; NMaxTray &amp; "). Please unselect some."))</f>
        <v/>
      </c>
      <c r="I35" s="597"/>
    </row>
    <row r="36" spans="1:9" ht="15.75" customHeight="1" x14ac:dyDescent="0.2">
      <c r="A36" s="111"/>
      <c r="B36" s="616" t="str">
        <f>IF(Francais,
CONCATENATE("Note: Les frais d'expédition de plats emboités (p.ex. 1 x 20x30 cm + 1 x 25 x 35 cm + 1 x 30 x 40 cm)"," est nettement inférieure à celle de plats de même taille (p.ex. 3 x 30 x 40 cm ) et les plateaux eux-mêmes coûtent moins cher (si achetés en ensemble prédéfini)."),
"Note: Shipping cost of a set of nested trays (e.g. 1 x 20x30 cm + 1 x 25 x 35 cm + 1 x 30 x 40 cm) is much less than trays of the same size (e.g. 3 x 30 x 40 cm ) and the trays themselves cost less (when bought as a pre-defined set).")</f>
        <v>Note: Les frais d'expédition de plats emboités (p.ex. 1 x 20x30 cm + 1 x 25 x 35 cm + 1 x 30 x 40 cm) est nettement inférieure à celle de plats de même taille (p.ex. 3 x 30 x 40 cm ) et les plateaux eux-mêmes coûtent moins cher (si achetés en ensemble prédéfini).</v>
      </c>
      <c r="C36" s="604"/>
      <c r="D36" s="604"/>
      <c r="E36" s="604"/>
      <c r="F36" s="604"/>
      <c r="G36" s="604"/>
      <c r="H36" s="604"/>
      <c r="I36" s="605"/>
    </row>
    <row r="37" spans="1:9" ht="26.25" customHeight="1" x14ac:dyDescent="0.2">
      <c r="B37" s="16"/>
      <c r="F37" s="702"/>
      <c r="G37" s="703" t="str">
        <f>IF(Francais,"SOUS-TOTAL MATÉRIEL:","HARDWARE SUBTOTAL:")</f>
        <v>SOUS-TOTAL MATÉRIEL:</v>
      </c>
      <c r="H37" s="704">
        <f>IF(ISNUMBER(H14),H14,0)+H22</f>
        <v>0</v>
      </c>
      <c r="I37" s="706"/>
    </row>
    <row r="38" spans="1:9" ht="15.75" customHeight="1" x14ac:dyDescent="0.2">
      <c r="B38" s="16"/>
    </row>
    <row r="39" spans="1:9" ht="28.25" customHeight="1" x14ac:dyDescent="0.2">
      <c r="A39" s="322" t="s">
        <v>169</v>
      </c>
      <c r="B39" s="315"/>
      <c r="C39" s="316"/>
      <c r="D39" s="316"/>
      <c r="E39" s="707" t="str">
        <f>A39 &amp; IF(Francais, " Logiciel et Matériel"," Software &amp; Hardware")</f>
        <v>WinSEEDLE™ Logiciel et Matériel</v>
      </c>
      <c r="F39" s="582"/>
      <c r="G39" s="583" t="s">
        <v>771</v>
      </c>
      <c r="H39" s="584">
        <f>(H4)+IF(ISNUMBER(H14),H14,0)+H22</f>
        <v>0</v>
      </c>
      <c r="I39" s="574"/>
    </row>
    <row r="40" spans="1:9" ht="18.75" customHeight="1" x14ac:dyDescent="0.2">
      <c r="B40" s="16"/>
      <c r="G40" s="720" t="str">
        <f>IF(Francais,"Valide jusqu'au","Valid until")</f>
        <v>Valide jusqu'au</v>
      </c>
      <c r="H40" s="318" t="s">
        <v>795</v>
      </c>
    </row>
    <row r="41" spans="1:9" ht="15.75" customHeight="1" x14ac:dyDescent="0.2">
      <c r="A41" s="717"/>
      <c r="B41" s="715"/>
      <c r="C41" s="715"/>
      <c r="D41" s="717"/>
      <c r="E41" s="718" t="str">
        <f>HYPERLINK("mailto:sales@regentinstruments.com",IF(Francais,"Pour des questions ou pour placer une commande, contactez: sales@regentinstruments.com","For questions or to place an order contact: sales@regentinstruments.com"))</f>
        <v>Pour des questions ou pour placer une commande, contactez: sales@regentinstruments.com</v>
      </c>
      <c r="F41" s="715"/>
      <c r="G41" s="715"/>
      <c r="H41" s="715"/>
      <c r="I41" s="715"/>
    </row>
    <row r="42" spans="1:9" ht="15.75" customHeight="1" x14ac:dyDescent="0.2"/>
    <row r="43" spans="1:9" ht="15.75" customHeight="1" x14ac:dyDescent="0.2"/>
    <row r="44" spans="1:9" ht="15.75" customHeight="1" x14ac:dyDescent="0.2"/>
  </sheetData>
  <sheetProtection algorithmName="SHA-512" hashValue="1IOvGXRwxQ2IH1can3fDReAtau4C1Tnc8aw9unfbsCKuULloiaUwYQoASUCwgeK6kAaIQJ7U8YRgwzZP/WmiRQ==" saltValue="kgtCm15bYMAB3h+sZl+SPA==" spinCount="100000" sheet="1" objects="1" scenarios="1" selectLockedCells="1"/>
  <mergeCells count="13">
    <mergeCell ref="J1:J7"/>
    <mergeCell ref="A24:A26"/>
    <mergeCell ref="C29:C34"/>
    <mergeCell ref="D15:E15"/>
    <mergeCell ref="F8:I8"/>
    <mergeCell ref="D14:E14"/>
    <mergeCell ref="G15:H16"/>
    <mergeCell ref="D16:E16"/>
    <mergeCell ref="C24:C28"/>
    <mergeCell ref="J10:J13"/>
    <mergeCell ref="A14:A22"/>
    <mergeCell ref="A2:A12"/>
    <mergeCell ref="C17:C18"/>
  </mergeCells>
  <conditionalFormatting sqref="G5:G6">
    <cfRule type="expression" dxfId="111" priority="96">
      <formula>IF(N("Si Downgrade prix=0 else Prix")+OR( IF(N("Si on downgrade model")+SEEDLE_IndexModelSoftware&lt;SEEDLE_IndexModelClient,1,0), IF(N("Si on downgrade de 64bits à 32bits")+AND(SEEDLE_IndexClientVersion&gt;SEEDLE_UpgradeNModels,SEEDLE_IndexSoftware&lt;=SEEDLE_UpgradeNModels),1,0) ),1,0)</formula>
    </cfRule>
  </conditionalFormatting>
  <conditionalFormatting sqref="D15:D16 D18:D21">
    <cfRule type="expression" dxfId="110" priority="94">
      <formula>NOT(Checkbox_Descriptions)</formula>
    </cfRule>
  </conditionalFormatting>
  <conditionalFormatting sqref="H39 H11 G4:G6 H37 G14 H22">
    <cfRule type="expression" dxfId="109" priority="97">
      <formula>OR(IndexZone=5)</formula>
    </cfRule>
    <cfRule type="expression" dxfId="108" priority="98">
      <formula>OR(IndexZone=3, IndexZone=8, IndexZone=10)</formula>
    </cfRule>
  </conditionalFormatting>
  <conditionalFormatting sqref="H14">
    <cfRule type="expression" dxfId="107" priority="66">
      <formula>ISTEXT($H$14)</formula>
    </cfRule>
  </conditionalFormatting>
  <conditionalFormatting sqref="D7:D8">
    <cfRule type="expression" dxfId="106" priority="49">
      <formula>NOT(Checkbox_Descriptions)</formula>
    </cfRule>
  </conditionalFormatting>
  <conditionalFormatting sqref="G32:G34">
    <cfRule type="expression" dxfId="105" priority="28">
      <formula>IF(RHIZO_IndexScanner=1,1,0)</formula>
    </cfRule>
  </conditionalFormatting>
  <conditionalFormatting sqref="C23">
    <cfRule type="expression" dxfId="104" priority="27">
      <formula>NOT(Checkbox_Descriptions)</formula>
    </cfRule>
  </conditionalFormatting>
  <conditionalFormatting sqref="D29:D34">
    <cfRule type="expression" dxfId="103" priority="26">
      <formula>IF(SEEDLE_IndexScanner=1,1,0)</formula>
    </cfRule>
  </conditionalFormatting>
  <conditionalFormatting sqref="D17">
    <cfRule type="expression" dxfId="102" priority="25">
      <formula>NOT(Checkbox_Descriptions)</formula>
    </cfRule>
  </conditionalFormatting>
  <conditionalFormatting sqref="J1">
    <cfRule type="expression" dxfId="101" priority="13">
      <formula>NOT(Checkbox_Instructions)</formula>
    </cfRule>
  </conditionalFormatting>
  <conditionalFormatting sqref="F5:G6">
    <cfRule type="expression" dxfId="100" priority="12">
      <formula>IF(SEEDLE_ChkBox_UpgradeUpdate,0,1)</formula>
    </cfRule>
  </conditionalFormatting>
  <conditionalFormatting sqref="A14">
    <cfRule type="expression" dxfId="99" priority="4">
      <formula>NOT(Checkbox_Instructions)</formula>
    </cfRule>
  </conditionalFormatting>
  <conditionalFormatting sqref="A24">
    <cfRule type="expression" dxfId="98" priority="3">
      <formula>NOT(Checkbox_Instructions)</formula>
    </cfRule>
  </conditionalFormatting>
  <conditionalFormatting sqref="A2">
    <cfRule type="expression" dxfId="97" priority="1">
      <formula>NOT(Checkbox_Instructions)</formula>
    </cfRule>
  </conditionalFormatting>
  <dataValidations disablePrompts="1" count="1">
    <dataValidation type="custom" allowBlank="1" showInputMessage="1" showErrorMessage="1" sqref="G15:H16 F8" xr:uid="{00000000-0002-0000-0500-000000000000}">
      <formula1>"&lt;0&gt;0"</formula1>
    </dataValidation>
  </dataValidations>
  <pageMargins left="0.7" right="0.7" top="0.75" bottom="0.75" header="0.3" footer="0.3"/>
  <pageSetup scale="49" orientation="landscape"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80897" r:id="rId4" name="Check Box 1">
              <controlPr defaultSize="0" autoFill="0" autoLine="0" autoPict="0">
                <anchor moveWithCells="1" sizeWithCells="1">
                  <from>
                    <xdr:col>5</xdr:col>
                    <xdr:colOff>25400</xdr:colOff>
                    <xdr:row>0</xdr:row>
                    <xdr:rowOff>25400</xdr:rowOff>
                  </from>
                  <to>
                    <xdr:col>5</xdr:col>
                    <xdr:colOff>1092200</xdr:colOff>
                    <xdr:row>0</xdr:row>
                    <xdr:rowOff>228600</xdr:rowOff>
                  </to>
                </anchor>
              </controlPr>
            </control>
          </mc:Choice>
        </mc:AlternateContent>
        <mc:AlternateContent xmlns:mc="http://schemas.openxmlformats.org/markup-compatibility/2006">
          <mc:Choice Requires="x14">
            <control shapeId="80914" r:id="rId5" name="Drop Down 18">
              <controlPr defaultSize="0" autoLine="0" autoPict="0">
                <anchor moveWithCells="1" sizeWithCells="1">
                  <from>
                    <xdr:col>1</xdr:col>
                    <xdr:colOff>0</xdr:colOff>
                    <xdr:row>13</xdr:row>
                    <xdr:rowOff>101600</xdr:rowOff>
                  </from>
                  <to>
                    <xdr:col>2</xdr:col>
                    <xdr:colOff>25400</xdr:colOff>
                    <xdr:row>13</xdr:row>
                    <xdr:rowOff>292100</xdr:rowOff>
                  </to>
                </anchor>
              </controlPr>
            </control>
          </mc:Choice>
        </mc:AlternateContent>
        <mc:AlternateContent xmlns:mc="http://schemas.openxmlformats.org/markup-compatibility/2006">
          <mc:Choice Requires="x14">
            <control shapeId="80910" r:id="rId6" name="Drop Down 14">
              <controlPr defaultSize="0" autoLine="0" autoPict="0">
                <anchor moveWithCells="1">
                  <from>
                    <xdr:col>4</xdr:col>
                    <xdr:colOff>76200</xdr:colOff>
                    <xdr:row>2</xdr:row>
                    <xdr:rowOff>215900</xdr:rowOff>
                  </from>
                  <to>
                    <xdr:col>4</xdr:col>
                    <xdr:colOff>3136900</xdr:colOff>
                    <xdr:row>4</xdr:row>
                    <xdr:rowOff>12700</xdr:rowOff>
                  </to>
                </anchor>
              </controlPr>
            </control>
          </mc:Choice>
        </mc:AlternateContent>
        <mc:AlternateContent xmlns:mc="http://schemas.openxmlformats.org/markup-compatibility/2006">
          <mc:Choice Requires="x14">
            <control shapeId="80928" r:id="rId7" name="Drop Down 32">
              <controlPr defaultSize="0" autoLine="0" autoPict="0">
                <anchor moveWithCells="1" sizeWithCells="1">
                  <from>
                    <xdr:col>9</xdr:col>
                    <xdr:colOff>114300</xdr:colOff>
                    <xdr:row>8</xdr:row>
                    <xdr:rowOff>25400</xdr:rowOff>
                  </from>
                  <to>
                    <xdr:col>9</xdr:col>
                    <xdr:colOff>863600</xdr:colOff>
                    <xdr:row>9</xdr:row>
                    <xdr:rowOff>0</xdr:rowOff>
                  </to>
                </anchor>
              </controlPr>
            </control>
          </mc:Choice>
        </mc:AlternateContent>
        <mc:AlternateContent xmlns:mc="http://schemas.openxmlformats.org/markup-compatibility/2006">
          <mc:Choice Requires="x14">
            <control shapeId="80929" r:id="rId8" name="ScannerCheckbox">
              <controlPr defaultSize="0" autoFill="0" autoLine="0" autoPict="0">
                <anchor moveWithCells="1" sizeWithCells="1">
                  <from>
                    <xdr:col>1</xdr:col>
                    <xdr:colOff>101600</xdr:colOff>
                    <xdr:row>13</xdr:row>
                    <xdr:rowOff>355600</xdr:rowOff>
                  </from>
                  <to>
                    <xdr:col>2</xdr:col>
                    <xdr:colOff>736600</xdr:colOff>
                    <xdr:row>15</xdr:row>
                    <xdr:rowOff>25400</xdr:rowOff>
                  </to>
                </anchor>
              </controlPr>
            </control>
          </mc:Choice>
        </mc:AlternateContent>
        <mc:AlternateContent xmlns:mc="http://schemas.openxmlformats.org/markup-compatibility/2006">
          <mc:Choice Requires="x14">
            <control shapeId="80932" r:id="rId9" name="DropDown_IndexScanner">
              <controlPr defaultSize="0" autoLine="0" autoPict="0">
                <anchor moveWithCells="1" sizeWithCells="1">
                  <from>
                    <xdr:col>2</xdr:col>
                    <xdr:colOff>736600</xdr:colOff>
                    <xdr:row>14</xdr:row>
                    <xdr:rowOff>0</xdr:rowOff>
                  </from>
                  <to>
                    <xdr:col>2</xdr:col>
                    <xdr:colOff>2006600</xdr:colOff>
                    <xdr:row>15</xdr:row>
                    <xdr:rowOff>25400</xdr:rowOff>
                  </to>
                </anchor>
              </controlPr>
            </control>
          </mc:Choice>
        </mc:AlternateContent>
        <mc:AlternateContent xmlns:mc="http://schemas.openxmlformats.org/markup-compatibility/2006">
          <mc:Choice Requires="x14">
            <control shapeId="80930" r:id="rId10" name="PosiOrBlueBG_Checkbox">
              <controlPr defaultSize="0" autoFill="0" autoLine="0" autoPict="0">
                <anchor moveWithCells="1" sizeWithCells="1">
                  <from>
                    <xdr:col>1</xdr:col>
                    <xdr:colOff>101600</xdr:colOff>
                    <xdr:row>19</xdr:row>
                    <xdr:rowOff>165100</xdr:rowOff>
                  </from>
                  <to>
                    <xdr:col>2</xdr:col>
                    <xdr:colOff>2870200</xdr:colOff>
                    <xdr:row>21</xdr:row>
                    <xdr:rowOff>25400</xdr:rowOff>
                  </to>
                </anchor>
              </controlPr>
            </control>
          </mc:Choice>
        </mc:AlternateContent>
        <mc:AlternateContent xmlns:mc="http://schemas.openxmlformats.org/markup-compatibility/2006">
          <mc:Choice Requires="x14">
            <control shapeId="80935" r:id="rId11" name="Drop Down 39">
              <controlPr defaultSize="0" autoLine="0" autoPict="0">
                <anchor moveWithCells="1" sizeWithCells="1">
                  <from>
                    <xdr:col>5</xdr:col>
                    <xdr:colOff>368300</xdr:colOff>
                    <xdr:row>24</xdr:row>
                    <xdr:rowOff>25400</xdr:rowOff>
                  </from>
                  <to>
                    <xdr:col>5</xdr:col>
                    <xdr:colOff>749300</xdr:colOff>
                    <xdr:row>24</xdr:row>
                    <xdr:rowOff>177800</xdr:rowOff>
                  </to>
                </anchor>
              </controlPr>
            </control>
          </mc:Choice>
        </mc:AlternateContent>
        <mc:AlternateContent xmlns:mc="http://schemas.openxmlformats.org/markup-compatibility/2006">
          <mc:Choice Requires="x14">
            <control shapeId="80936" r:id="rId12" name="Drop Down 40">
              <controlPr defaultSize="0" autoLine="0" autoPict="0">
                <anchor moveWithCells="1" sizeWithCells="1">
                  <from>
                    <xdr:col>5</xdr:col>
                    <xdr:colOff>368300</xdr:colOff>
                    <xdr:row>23</xdr:row>
                    <xdr:rowOff>25400</xdr:rowOff>
                  </from>
                  <to>
                    <xdr:col>5</xdr:col>
                    <xdr:colOff>749300</xdr:colOff>
                    <xdr:row>23</xdr:row>
                    <xdr:rowOff>177800</xdr:rowOff>
                  </to>
                </anchor>
              </controlPr>
            </control>
          </mc:Choice>
        </mc:AlternateContent>
        <mc:AlternateContent xmlns:mc="http://schemas.openxmlformats.org/markup-compatibility/2006">
          <mc:Choice Requires="x14">
            <control shapeId="80937" r:id="rId13" name="Drop Down 41">
              <controlPr defaultSize="0" autoLine="0" autoPict="0">
                <anchor moveWithCells="1" sizeWithCells="1">
                  <from>
                    <xdr:col>5</xdr:col>
                    <xdr:colOff>368300</xdr:colOff>
                    <xdr:row>25</xdr:row>
                    <xdr:rowOff>25400</xdr:rowOff>
                  </from>
                  <to>
                    <xdr:col>5</xdr:col>
                    <xdr:colOff>749300</xdr:colOff>
                    <xdr:row>25</xdr:row>
                    <xdr:rowOff>177800</xdr:rowOff>
                  </to>
                </anchor>
              </controlPr>
            </control>
          </mc:Choice>
        </mc:AlternateContent>
        <mc:AlternateContent xmlns:mc="http://schemas.openxmlformats.org/markup-compatibility/2006">
          <mc:Choice Requires="x14">
            <control shapeId="80938" r:id="rId14" name="Drop Down 42">
              <controlPr defaultSize="0" autoLine="0" autoPict="0">
                <anchor moveWithCells="1" sizeWithCells="1">
                  <from>
                    <xdr:col>5</xdr:col>
                    <xdr:colOff>368300</xdr:colOff>
                    <xdr:row>28</xdr:row>
                    <xdr:rowOff>25400</xdr:rowOff>
                  </from>
                  <to>
                    <xdr:col>5</xdr:col>
                    <xdr:colOff>749300</xdr:colOff>
                    <xdr:row>28</xdr:row>
                    <xdr:rowOff>177800</xdr:rowOff>
                  </to>
                </anchor>
              </controlPr>
            </control>
          </mc:Choice>
        </mc:AlternateContent>
        <mc:AlternateContent xmlns:mc="http://schemas.openxmlformats.org/markup-compatibility/2006">
          <mc:Choice Requires="x14">
            <control shapeId="80939" r:id="rId15" name="Drop Down 43">
              <controlPr defaultSize="0" autoLine="0" autoPict="0">
                <anchor moveWithCells="1" sizeWithCells="1">
                  <from>
                    <xdr:col>5</xdr:col>
                    <xdr:colOff>368300</xdr:colOff>
                    <xdr:row>29</xdr:row>
                    <xdr:rowOff>25400</xdr:rowOff>
                  </from>
                  <to>
                    <xdr:col>5</xdr:col>
                    <xdr:colOff>749300</xdr:colOff>
                    <xdr:row>29</xdr:row>
                    <xdr:rowOff>177800</xdr:rowOff>
                  </to>
                </anchor>
              </controlPr>
            </control>
          </mc:Choice>
        </mc:AlternateContent>
        <mc:AlternateContent xmlns:mc="http://schemas.openxmlformats.org/markup-compatibility/2006">
          <mc:Choice Requires="x14">
            <control shapeId="80940" r:id="rId16" name="Drop Down 44">
              <controlPr defaultSize="0" autoLine="0" autoPict="0">
                <anchor moveWithCells="1" sizeWithCells="1">
                  <from>
                    <xdr:col>5</xdr:col>
                    <xdr:colOff>368300</xdr:colOff>
                    <xdr:row>30</xdr:row>
                    <xdr:rowOff>25400</xdr:rowOff>
                  </from>
                  <to>
                    <xdr:col>5</xdr:col>
                    <xdr:colOff>749300</xdr:colOff>
                    <xdr:row>30</xdr:row>
                    <xdr:rowOff>177800</xdr:rowOff>
                  </to>
                </anchor>
              </controlPr>
            </control>
          </mc:Choice>
        </mc:AlternateContent>
        <mc:AlternateContent xmlns:mc="http://schemas.openxmlformats.org/markup-compatibility/2006">
          <mc:Choice Requires="x14">
            <control shapeId="80941" r:id="rId17" name="Drop Down 45">
              <controlPr defaultSize="0" autoLine="0" autoPict="0">
                <anchor moveWithCells="1" sizeWithCells="1">
                  <from>
                    <xdr:col>5</xdr:col>
                    <xdr:colOff>368300</xdr:colOff>
                    <xdr:row>26</xdr:row>
                    <xdr:rowOff>25400</xdr:rowOff>
                  </from>
                  <to>
                    <xdr:col>5</xdr:col>
                    <xdr:colOff>749300</xdr:colOff>
                    <xdr:row>26</xdr:row>
                    <xdr:rowOff>177800</xdr:rowOff>
                  </to>
                </anchor>
              </controlPr>
            </control>
          </mc:Choice>
        </mc:AlternateContent>
        <mc:AlternateContent xmlns:mc="http://schemas.openxmlformats.org/markup-compatibility/2006">
          <mc:Choice Requires="x14">
            <control shapeId="80942" r:id="rId18" name="Drop Down 46">
              <controlPr defaultSize="0" autoLine="0" autoPict="0">
                <anchor moveWithCells="1" sizeWithCells="1">
                  <from>
                    <xdr:col>5</xdr:col>
                    <xdr:colOff>368300</xdr:colOff>
                    <xdr:row>27</xdr:row>
                    <xdr:rowOff>25400</xdr:rowOff>
                  </from>
                  <to>
                    <xdr:col>5</xdr:col>
                    <xdr:colOff>749300</xdr:colOff>
                    <xdr:row>27</xdr:row>
                    <xdr:rowOff>177800</xdr:rowOff>
                  </to>
                </anchor>
              </controlPr>
            </control>
          </mc:Choice>
        </mc:AlternateContent>
        <mc:AlternateContent xmlns:mc="http://schemas.openxmlformats.org/markup-compatibility/2006">
          <mc:Choice Requires="x14">
            <control shapeId="80943" r:id="rId19" name="Drop Down 47">
              <controlPr defaultSize="0" autoLine="0" autoPict="0">
                <anchor moveWithCells="1" sizeWithCells="1">
                  <from>
                    <xdr:col>5</xdr:col>
                    <xdr:colOff>368300</xdr:colOff>
                    <xdr:row>31</xdr:row>
                    <xdr:rowOff>25400</xdr:rowOff>
                  </from>
                  <to>
                    <xdr:col>5</xdr:col>
                    <xdr:colOff>749300</xdr:colOff>
                    <xdr:row>31</xdr:row>
                    <xdr:rowOff>177800</xdr:rowOff>
                  </to>
                </anchor>
              </controlPr>
            </control>
          </mc:Choice>
        </mc:AlternateContent>
        <mc:AlternateContent xmlns:mc="http://schemas.openxmlformats.org/markup-compatibility/2006">
          <mc:Choice Requires="x14">
            <control shapeId="80944" r:id="rId20" name="Drop Down 48">
              <controlPr defaultSize="0" autoLine="0" autoPict="0">
                <anchor moveWithCells="1" sizeWithCells="1">
                  <from>
                    <xdr:col>5</xdr:col>
                    <xdr:colOff>368300</xdr:colOff>
                    <xdr:row>32</xdr:row>
                    <xdr:rowOff>25400</xdr:rowOff>
                  </from>
                  <to>
                    <xdr:col>5</xdr:col>
                    <xdr:colOff>749300</xdr:colOff>
                    <xdr:row>32</xdr:row>
                    <xdr:rowOff>177800</xdr:rowOff>
                  </to>
                </anchor>
              </controlPr>
            </control>
          </mc:Choice>
        </mc:AlternateContent>
        <mc:AlternateContent xmlns:mc="http://schemas.openxmlformats.org/markup-compatibility/2006">
          <mc:Choice Requires="x14">
            <control shapeId="80945" r:id="rId21" name="Drop Down 49">
              <controlPr defaultSize="0" autoLine="0" autoPict="0">
                <anchor moveWithCells="1" sizeWithCells="1">
                  <from>
                    <xdr:col>5</xdr:col>
                    <xdr:colOff>368300</xdr:colOff>
                    <xdr:row>33</xdr:row>
                    <xdr:rowOff>25400</xdr:rowOff>
                  </from>
                  <to>
                    <xdr:col>5</xdr:col>
                    <xdr:colOff>749300</xdr:colOff>
                    <xdr:row>33</xdr:row>
                    <xdr:rowOff>177800</xdr:rowOff>
                  </to>
                </anchor>
              </controlPr>
            </control>
          </mc:Choice>
        </mc:AlternateContent>
        <mc:AlternateContent xmlns:mc="http://schemas.openxmlformats.org/markup-compatibility/2006">
          <mc:Choice Requires="x14">
            <control shapeId="80947" r:id="rId22" name="DropDown_N_SoftwareOrUpg">
              <controlPr defaultSize="0" autoLine="0" autoPict="0">
                <anchor moveWithCells="1">
                  <from>
                    <xdr:col>1</xdr:col>
                    <xdr:colOff>12700</xdr:colOff>
                    <xdr:row>3</xdr:row>
                    <xdr:rowOff>25400</xdr:rowOff>
                  </from>
                  <to>
                    <xdr:col>2</xdr:col>
                    <xdr:colOff>25400</xdr:colOff>
                    <xdr:row>3</xdr:row>
                    <xdr:rowOff>215900</xdr:rowOff>
                  </to>
                </anchor>
              </controlPr>
            </control>
          </mc:Choice>
        </mc:AlternateContent>
        <mc:AlternateContent xmlns:mc="http://schemas.openxmlformats.org/markup-compatibility/2006">
          <mc:Choice Requires="x14">
            <control shapeId="80915" r:id="rId23" name="DropDown_IndexClientVersion">
              <controlPr defaultSize="0" autoLine="0" autoPict="0">
                <anchor moveWithCells="1" sizeWithCells="1">
                  <from>
                    <xdr:col>4</xdr:col>
                    <xdr:colOff>76200</xdr:colOff>
                    <xdr:row>4</xdr:row>
                    <xdr:rowOff>0</xdr:rowOff>
                  </from>
                  <to>
                    <xdr:col>4</xdr:col>
                    <xdr:colOff>1473200</xdr:colOff>
                    <xdr:row>5</xdr:row>
                    <xdr:rowOff>0</xdr:rowOff>
                  </to>
                </anchor>
              </controlPr>
            </control>
          </mc:Choice>
        </mc:AlternateContent>
        <mc:AlternateContent xmlns:mc="http://schemas.openxmlformats.org/markup-compatibility/2006">
          <mc:Choice Requires="x14">
            <control shapeId="80946" r:id="rId24" name="ChkB_UpgradeUpdate">
              <controlPr defaultSize="0" autoFill="0" autoLine="0" autoPict="0">
                <anchor moveWithCells="1" sizeWithCells="1">
                  <from>
                    <xdr:col>2</xdr:col>
                    <xdr:colOff>88900</xdr:colOff>
                    <xdr:row>4</xdr:row>
                    <xdr:rowOff>12700</xdr:rowOff>
                  </from>
                  <to>
                    <xdr:col>2</xdr:col>
                    <xdr:colOff>2984500</xdr:colOff>
                    <xdr:row>4</xdr:row>
                    <xdr:rowOff>215900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tabColor rgb="FF00B050"/>
    <pageSetUpPr fitToPage="1"/>
  </sheetPr>
  <dimension ref="A1:P32"/>
  <sheetViews>
    <sheetView showGridLines="0" zoomScaleNormal="100" workbookViewId="0">
      <selection activeCell="D5" sqref="D5"/>
    </sheetView>
  </sheetViews>
  <sheetFormatPr baseColWidth="10" defaultColWidth="0" defaultRowHeight="16" zeroHeight="1" x14ac:dyDescent="0.2"/>
  <cols>
    <col min="1" max="1" width="15.1640625" customWidth="1"/>
    <col min="2" max="2" width="5.6640625" style="1" customWidth="1"/>
    <col min="3" max="3" width="39.1640625" style="1" customWidth="1"/>
    <col min="4" max="4" width="11.1640625" style="1" customWidth="1"/>
    <col min="5" max="5" width="52.1640625" style="1" customWidth="1"/>
    <col min="6" max="7" width="14.1640625" style="1" customWidth="1"/>
    <col min="8" max="8" width="14.1640625" style="1" bestFit="1" customWidth="1"/>
    <col min="9" max="9" width="14.1640625" customWidth="1"/>
    <col min="10" max="10" width="17.5" customWidth="1"/>
    <col min="11" max="16" width="10.6640625" customWidth="1"/>
    <col min="17" max="16384" width="10.6640625" hidden="1"/>
  </cols>
  <sheetData>
    <row r="1" spans="1:16" ht="21.5" customHeight="1" x14ac:dyDescent="0.2">
      <c r="A1" s="111"/>
      <c r="B1" s="319" t="str">
        <f>$A$30 &amp; IF(Francais," Liste de Prix V. "," Price List V. ") &amp; YearOfList &amp;
IF(Francais, " en devise "," in ") &amp; IF(IndexCurrency=3,"USD",IF(IndexCurrency=2,"Euro","CAD")) &amp; IF(Francais, ""," Currency")</f>
        <v>WinFOLIA™ Liste de Prix V. 2026 en devise USD</v>
      </c>
      <c r="C1" s="320"/>
      <c r="G1" s="321"/>
      <c r="H1" s="15"/>
      <c r="J1" s="911" t="str">
        <f>IF(Francais,
"2) Si vous avez déjà "&amp; SUBSTITUTE(A30,"™","") &amp; ", indiquez combien de licences (pour un rabais)." &amp; CONCATENATE(CHAR(10), REPT(" ",9), "↓"),
"2) If you already own "&amp; SUBSTITUTE(A30,"™","") &amp; ", indicate how many licences (to get a discount)." &amp; CONCATENATE(CHAR(10), REPT(" ", 9), "↓"))</f>
        <v>2) Si vous avez déjà WinFOLIA, indiquez combien de licences (pour un rabais).
         ↓</v>
      </c>
    </row>
    <row r="2" spans="1:16" s="1" customFormat="1" ht="30" customHeight="1" x14ac:dyDescent="0.2">
      <c r="A2" s="922" t="str">
        <f>IF(Francais,
"1) Choisir combien de license(s) et le modèle du logiciel à acheter" &amp; IF(Checkbox_Updates=TRUE," / mettre à jour.","."),
"1) Select how many license(s) and which model to buy" &amp; IF(Checkbox_Updates=TRUE," or update to.",".") )
&amp; " →"&amp; CHAR(10)  &amp; IF(Checkbox_Updates=TRUE,IF(Francais,
"Pour mettre " &amp; "→" &amp; CHAR(10) &amp; "à jour des licenses, cochez la case, entrée l'année et sélectionnez le modèle que vous possédez.",
"To update " &amp; "→" &amp; CHAR(10)  &amp; "license(s), "  &amp; "check this box, enter the year and select the model you own."),
"")</f>
        <v>1) Choisir combien de license(s) et le modèle du logiciel à acheter / mettre à jour. →
Pour mettre →
à jour des licenses, cochez la case, entrée l'année et sélectionnez le modèle que vous possédez.</v>
      </c>
      <c r="B2" s="585"/>
      <c r="C2" s="586" t="str">
        <f>IF(Francais,"Logiciel","Software")</f>
        <v>Logiciel</v>
      </c>
      <c r="D2" s="587"/>
      <c r="E2" s="587"/>
      <c r="F2" s="587"/>
      <c r="G2" s="587"/>
      <c r="H2" s="587"/>
      <c r="I2" s="588"/>
      <c r="J2" s="911"/>
    </row>
    <row r="3" spans="1:16" s="1" customFormat="1" ht="18" customHeight="1" x14ac:dyDescent="0.2">
      <c r="A3" s="922"/>
      <c r="B3" s="601"/>
      <c r="E3" s="590" t="str">
        <f>REPT(" ",15) &amp; IF(Francais,"Modèle","Model")</f>
        <v xml:space="preserve">               Modèle</v>
      </c>
      <c r="G3" s="15" t="str">
        <f>IF(Francais,"Prix Unit. de Liste","Item List Price")</f>
        <v>Prix Unit. de Liste</v>
      </c>
      <c r="H3" s="15" t="str">
        <f>IF(Francais,"Prix de liste","List Price")</f>
        <v>Prix de liste</v>
      </c>
      <c r="I3" s="591" t="str">
        <f>IF(Francais,"Code Harmonisé","Harmonized Code")</f>
        <v>Code Harmonisé</v>
      </c>
      <c r="J3" s="911"/>
    </row>
    <row r="4" spans="1:16" ht="18" customHeight="1" x14ac:dyDescent="0.2">
      <c r="A4" s="922"/>
      <c r="B4" s="645"/>
      <c r="C4" s="646" t="str">
        <f>IF(Francais,"License(s) Logiciel " &amp; $A$30,$A$30&amp;" Software License(s)")</f>
        <v>License(s) Logiciel WinFOLIA™</v>
      </c>
      <c r="D4" s="647"/>
      <c r="E4" s="647"/>
      <c r="F4" s="647"/>
      <c r="G4" s="156">
        <f>IF(FOLIA_ChkBox_UpgradeUpdate,IFERROR(H4/(FOLIA_N_UpgradeUpdate-1),0),
IFERROR(H4/(FOLIA_N_Software-1),0))</f>
        <v>0</v>
      </c>
      <c r="H4" s="191">
        <f>IF(FOLIA_ChkBox_UpgradeUpdate,ROUND((G5+G6)*(FOLIA_N_UpgradeUpdate-1),0),
ROUND((INDEX(FOLIA_SoftwarePriceList,FOLIA_IndexSoftware))*
IF(FOLIA_N_Software-1=0,0,SUM(MMULT(
  _xlfn.MUNIT(
   FOLIA_N_Software-1),
    INDEX(TableLists[Column10],FOLIA_N_AlreadyHaveSoftware-1+2):
    INDEX(TableLists[Column10],(FOLIA_N_AlreadyHaveSoftware-1+1)+(FOLIA_N_Software-1))
))),0))</f>
        <v>0</v>
      </c>
      <c r="I4" s="648">
        <v>852349</v>
      </c>
      <c r="J4" s="911"/>
    </row>
    <row r="5" spans="1:16" ht="18" customHeight="1" x14ac:dyDescent="0.2">
      <c r="A5" s="922"/>
      <c r="B5" s="600"/>
      <c r="C5" s="708" t="str">
        <f>IF(Francais,"Mise à jour d'une vieille version",
"Update from an older version")</f>
        <v>Mise à jour d'une vieille version</v>
      </c>
      <c r="D5" s="752">
        <v>2019</v>
      </c>
      <c r="E5" s="203" t="str">
        <f>IF(FOLIA_N_UpgradeUpdate&gt;1,
IF(N("Si on downgrade model")+FOLIA_IndexModelSoftware&lt;FOLIA_IndexModelClient,"Downgrading model is not possible",""),"")</f>
        <v/>
      </c>
      <c r="F5" s="128" t="str">
        <f>IF(Francais,"Coût mise à jour","Update cost")</f>
        <v>Coût mise à jour</v>
      </c>
      <c r="G5" s="170">
        <f>IF(N("Si Downgrade prix=0 else Prix")+OR(
IF(N("Si on downgrade model")+FOLIA_IndexModelSoftware&lt;FOLIA_IndexModelClient,1,0),
IF(N("Si no update")+FOLIA_YearMostRecent&lt;=FOLIA_YearClient,1,0)
),0,
N("PrixUpdate:")+(MAX(INDEX(FOLIA_SoftwarePriceList,FOLIA_IndexClientVersion)*(1-(1-UpdateResidualValueAfterAnneesMax))*(MIN(FOLIA_YearMostRecent-FOLIA_YearClient,UpdateNAnnesMax))/UpdateNAnnesMax,UpdateMinPrice)+CteUpdate)*(VARS_PriceRise2026_Updates)
)</f>
        <v>539.57999999999993</v>
      </c>
      <c r="H5" s="712"/>
      <c r="I5" s="709"/>
      <c r="J5" s="911"/>
    </row>
    <row r="6" spans="1:16" ht="18" customHeight="1" x14ac:dyDescent="0.2">
      <c r="A6" s="922"/>
      <c r="B6" s="596"/>
      <c r="C6" s="1" t="str">
        <f>IF(FOLIA_ChkBox_UpgradeUpdate, REPT(" ",6) &amp; IF(Francais,
"Si Mise à jour, la licence actuelle devient inutilisable. Votre clé doit être renvoyée pour un échange ou reprogrammée pour la nouvelle version.",
"When updating, you can't use your current license anymore. Your key must be returned for an exchange or reprogrammed for the new version."
),"")</f>
        <v/>
      </c>
      <c r="D6" s="680"/>
      <c r="E6" s="680"/>
      <c r="F6" s="128" t="str">
        <f>IF(Francais,"Coût mise à niveau","Upgrade cost")</f>
        <v>Coût mise à niveau</v>
      </c>
      <c r="G6" s="171">
        <f>IF(N("Si Downgrade prix=0 else Prix")+OR(
IF(N("Si on downgrade model")+FOLIA_IndexModelSoftware&lt;FOLIA_IndexModelClient,1,0)),0,
N("PrixUpgrade :")+(IF(AND((FOLIA_IndexSoftware-FOLIA_IndexClientVersion)&gt;0,FOLIA_IndexSoftware&lt;&gt;FOLIA_IndexClientVersion),INDEX(FOLIA_SoftwarePriceList,FOLIA_IndexSoftware)-INDEX(FOLIA_SoftwarePriceList,FOLIA_IndexClientVersion),0))
)</f>
        <v>0</v>
      </c>
      <c r="H6" s="712"/>
      <c r="I6" s="709"/>
      <c r="J6" s="911"/>
    </row>
    <row r="7" spans="1:16" ht="18" customHeight="1" x14ac:dyDescent="0.2">
      <c r="A7" s="922"/>
      <c r="B7" s="596"/>
      <c r="C7" s="1" t="str">
        <f>"• " &amp; A30 &amp; " " &amp; IF(Francais,
"License Logiciel (32 et 64-bit, pour Windows 8 à 11). Manuesl d'instructions (PDF &amp; Imprimé). Pas d'activation " &amp; "&amp;" &amp;" connexion Internet requise. Licence perpétuelle (valide indéfiniment sans frais supplémentaires).",
"Software license (32 and 64-bit, for Windows 8 to 11). Instructions manuals (PDF &amp; Printed). No activation " &amp; "&amp;" &amp;" Internet connection required. Perpetual license (use it as long as you want without afterward fees)."
)</f>
        <v>• WinFOLIA™ License Logiciel (32 et 64-bit, pour Windows 8 à 11). Manuesl d'instructions (PDF &amp; Imprimé). Pas d'activation &amp; connexion Internet requise. Licence perpétuelle (valide indéfiniment sans frais supplémentaires).</v>
      </c>
      <c r="D7" s="201"/>
      <c r="E7" s="201"/>
      <c r="I7" s="597"/>
      <c r="J7" s="911"/>
    </row>
    <row r="8" spans="1:16" ht="18" customHeight="1" x14ac:dyDescent="0.2">
      <c r="A8" s="922"/>
      <c r="B8" s="596"/>
      <c r="C8" s="1" t="str">
        <f>"• XL" &amp; PROPER(SUBSTITUTE(A30,"Win","")) &amp; " " &amp; IF(Francais,"Logiciel pour analyse des données de " &amp;A30&amp; " (requiert MS Excel, non-inclus)","Software for " &amp;A30&amp; "'s data Analysis (requires MS Excel, not included)" )</f>
        <v>• XLFolia™ Logiciel pour analyse des données de WinFOLIA™ (requiert MS Excel, non-inclus)</v>
      </c>
      <c r="D8" s="201"/>
      <c r="E8" s="201"/>
      <c r="F8" s="918" t="str">
        <f>IF(Checkbox_Instructions,HYPERLINK("https://regentinstruments.com/assets/" &amp; LOWER(LEFT($A$30,LEN($A$30)-1)) &amp; "_software.html?utm_source=PriceQuoteXLS",IF(Francais,"Cliquez pour voir les caractéristiques par modèle de logiciel","Click to view features per software model")),"")</f>
        <v>Cliquez pour voir les caractéristiques par modèle de logiciel</v>
      </c>
      <c r="G8" s="918"/>
      <c r="H8" s="918"/>
      <c r="I8" s="919"/>
      <c r="J8" s="143" t="str">
        <f>IF(Francais,"  Je possède", "  I own")</f>
        <v xml:space="preserve">  Je possède</v>
      </c>
    </row>
    <row r="9" spans="1:16" ht="18" customHeight="1" x14ac:dyDescent="0.2">
      <c r="A9" s="922"/>
      <c r="B9" s="598"/>
      <c r="C9" s="1" t="str">
        <f>IF(Francais,
"• Clé de protection USB (dispositif de contrôle du logiciel). Le logiciel peut être installé sur plusieurs ordinateurs du titulaire de la licence, "&amp;"mais seul celui où la clé est connectée fonctionnera (facile de déplacer la clé d'ordinateur).",
"• USB drive &amp; key (software controlling device). Software can be installed on more than one licensee's computers, but only the one which has the key connected to it can run at a time (easy to move the key from one computer to another)."
)</f>
        <v>• Clé de protection USB (dispositif de contrôle du logiciel). Le logiciel peut être installé sur plusieurs ordinateurs du titulaire de la licence, mais seul celui où la clé est connectée fonctionnera (facile de déplacer la clé d'ordinateur).</v>
      </c>
      <c r="D9" s="7"/>
      <c r="E9" s="7"/>
      <c r="I9" s="597"/>
      <c r="K9" s="332"/>
      <c r="L9" s="332"/>
      <c r="M9" s="332"/>
      <c r="N9" s="332"/>
      <c r="O9" s="332"/>
      <c r="P9" s="332"/>
    </row>
    <row r="10" spans="1:16" ht="7.5" customHeight="1" x14ac:dyDescent="0.2">
      <c r="A10" s="922"/>
      <c r="B10" s="650"/>
      <c r="C10" s="604"/>
      <c r="D10" s="604"/>
      <c r="E10" s="604"/>
      <c r="F10" s="651"/>
      <c r="G10" s="652"/>
      <c r="H10" s="604"/>
      <c r="I10" s="605"/>
      <c r="J10" s="924" t="str">
        <f>IF(Francais,"License(s) Logiciel " &amp; A30,A30&amp;" Software License(s)")</f>
        <v>License(s) Logiciel WinFOLIA™</v>
      </c>
    </row>
    <row r="11" spans="1:16" ht="25.5" customHeight="1" x14ac:dyDescent="0.2">
      <c r="A11" s="922"/>
      <c r="B11"/>
      <c r="C11"/>
      <c r="D11"/>
      <c r="E11"/>
      <c r="F11" s="702"/>
      <c r="G11" s="703" t="str">
        <f>IF(Francais,"SOUS-TOTAL LOGICIEL:","SOFTWARE SUBTOTAL:")</f>
        <v>SOUS-TOTAL LOGICIEL:</v>
      </c>
      <c r="H11" s="704">
        <f>H4</f>
        <v>0</v>
      </c>
      <c r="I11" s="705"/>
      <c r="J11" s="924"/>
    </row>
    <row r="12" spans="1:16" ht="10" customHeight="1" x14ac:dyDescent="0.2">
      <c r="A12" s="922"/>
      <c r="B12"/>
      <c r="C12"/>
      <c r="D12"/>
      <c r="E12"/>
      <c r="F12"/>
      <c r="G12" s="15"/>
      <c r="H12" s="15"/>
      <c r="I12" s="15"/>
      <c r="J12" s="924"/>
    </row>
    <row r="13" spans="1:16" ht="30" customHeight="1" x14ac:dyDescent="0.2">
      <c r="A13" s="716"/>
      <c r="B13" s="585"/>
      <c r="C13" s="586" t="str">
        <f>IF(Francais,"Matériel","Hardware")</f>
        <v>Matériel</v>
      </c>
      <c r="D13" s="606"/>
      <c r="E13" s="606"/>
      <c r="F13" s="606"/>
      <c r="G13" s="606"/>
      <c r="H13" s="606"/>
      <c r="I13" s="622"/>
      <c r="J13" s="924"/>
    </row>
    <row r="14" spans="1:16" ht="30.75" customHeight="1" x14ac:dyDescent="0.2">
      <c r="A14" s="921" t="str">
        <f>"3) " &amp;
IF(Francais,"Choisir 1 ou + → pour un système avec ou sans scanner et choisir le modèle. ""Sans"" est lorque vous en avez déjà un ou devez l'acheter localement.","Select 1 or + → to get a system with or without a scanner and choose the model. ""Without"" is when you already have it or buy it locally.")</f>
        <v>3) Choisir 1 ou + → pour un système avec ou sans scanner et choisir le modèle. "Sans" est lorque vous en avez déjà un ou devez l'acheter localement.</v>
      </c>
      <c r="B14" s="649"/>
      <c r="C14" s="646" t="str">
        <f>IF(Francais,"Système(s) " &amp; $A$30, $A$30 &amp; " System(s)")</f>
        <v>Système(s) WinFOLIA™</v>
      </c>
      <c r="D14" s="927" t="str">
        <f>IF(Francais,
"Incluant:",
"Including:")</f>
        <v>Incluant:</v>
      </c>
      <c r="E14" s="927"/>
      <c r="F14" s="155"/>
      <c r="G14" s="158">
        <f>IFERROR(H14/(FOLIA_N_System-1),0)</f>
        <v>0</v>
      </c>
      <c r="H14" s="349">
        <f>IF(AND(FOLIA_N_Software=1,FOLIA_N_UpgradeUpdate=1,NOT(SuperUser),FOLIA_N_System&gt;1),IF(Francais,"vendu avec logiciel uniquement","sold with software only"),
ROUND((IF(FOLIA_ClientWithOrWithoutScanner=1,
       INDEX((PrixSTD,PrixLA,PrixLC),,,FOLIA_IndexScanner),
       INDEX((STD_GenCalib_Drivers_Instr_Techsup,LA_GenCalib_Drivers_Instr_Techsup,LC_GenCalib_Drivers_Instr_Techsup),,,FOLIA_IndexScanner))
+IF(FOLIA_PosiOrBlueBG_Checkbox,INDEX((PrixBlBgSTD_LA_LC),,,FOLIA_IndexScanner),0)
)*(FOLIA_N_System-1)+(FOLIA_OptionTPU-1)*G22,0))</f>
        <v>0</v>
      </c>
      <c r="I14" s="648">
        <v>903149</v>
      </c>
      <c r="J14" s="631"/>
    </row>
    <row r="15" spans="1:16" ht="15.75" customHeight="1" x14ac:dyDescent="0.2">
      <c r="A15" s="921"/>
      <c r="B15" s="608"/>
      <c r="C15" s="309" t="str">
        <f>"• Scanner"</f>
        <v>• Scanner</v>
      </c>
      <c r="D15" s="917" t="str">
        <f>IF(FOLIA_ClientWithOrWithoutScanner=1,
IF(Francais,
"• Documentation, logiciels et accessoires du manufacturier",
"• Manufacturer documentation, software and accessories"),
IF(Francais,"• Scanner non inclus","• No scanner included"))</f>
        <v>• Scanner non inclus</v>
      </c>
      <c r="E15" s="917"/>
      <c r="G15" s="915" t="str">
        <f>IF(Checkbox_Instructions,HYPERLINK("https://regentinstruments.com/assets/ourscanners.html?utm_source=PriceQuoteXLS",IF(Francais,"Cliquez pour voir les spécifications de nos scanners","Click to view our scanners specifications")),"")</f>
        <v>Cliquez pour voir les spécifications de nos scanners</v>
      </c>
      <c r="H15" s="915"/>
      <c r="I15" s="609"/>
      <c r="J15" s="631"/>
    </row>
    <row r="16" spans="1:16" ht="15.75" customHeight="1" x14ac:dyDescent="0.2">
      <c r="A16" s="921"/>
      <c r="B16" s="608"/>
      <c r="C16" s="310" t="str">
        <f>IF(Francais,"   (seulement vendu avec logiciel)","   (sold with software only)")</f>
        <v xml:space="preserve">   (seulement vendu avec logiciel)</v>
      </c>
      <c r="D16" s="917"/>
      <c r="E16" s="917"/>
      <c r="G16" s="915"/>
      <c r="H16" s="915"/>
      <c r="I16" s="597"/>
      <c r="J16" s="631"/>
    </row>
    <row r="17" spans="1:10" x14ac:dyDescent="0.2">
      <c r="A17" s="921"/>
      <c r="B17" s="608"/>
      <c r="C17" s="923" t="str">
        <f>IF(AND(FOLIA_IndexScanner=2,FOLIA_ClientWithOrWithoutScanner_ChkBox),
IF(Francais,"Restrictions d'exportation applicables: le Scanner LA peut ne pas être expédiable dans votre pays","Export Restrictions Apply: The LA Scanner cannot be sold worldwide, it might not ship to your country"),
"")</f>
        <v/>
      </c>
      <c r="D17" s="44" t="str">
        <f>IF(Francais,
"• Calibration, Manuel Installation &amp; Utilisation Scanner pour " &amp; A30 &amp; IF(OR(A30="WinRHIZO™",A30="WinSEEDLE™")," &amp; vidéo","") &amp; ", Pilote TWAIN et support technique pour l'acquisition d'image de Feuilles.",
"• Calibration, Scanner Installation &amp; Utilisation for " &amp; A30 &amp; " manual" &amp; IF(OR(A30="WinRHIZO™",A30="WinSEEDLE™")," &amp; video","") &amp; ", TWAIN driver and Technical support for Leaves image acquisition.")</f>
        <v>• Calibration, Manuel Installation &amp; Utilisation Scanner pour WinFOLIA™, Pilote TWAIN et support technique pour l'acquisition d'image de Feuilles.</v>
      </c>
      <c r="I17" s="611"/>
    </row>
    <row r="18" spans="1:10" ht="8" customHeight="1" x14ac:dyDescent="0.2">
      <c r="A18" s="921"/>
      <c r="B18" s="608"/>
      <c r="C18" s="923"/>
      <c r="E18" s="130"/>
      <c r="I18" s="611"/>
    </row>
    <row r="19" spans="1:10" ht="0.75" customHeight="1" x14ac:dyDescent="0.2">
      <c r="A19" s="921"/>
      <c r="B19" s="608"/>
      <c r="H19" s="150"/>
      <c r="I19" s="611"/>
    </row>
    <row r="20" spans="1:10" ht="0.75" customHeight="1" x14ac:dyDescent="0.2">
      <c r="A20" s="921"/>
      <c r="B20" s="608"/>
      <c r="H20" s="150"/>
      <c r="I20" s="611"/>
    </row>
    <row r="21" spans="1:10" x14ac:dyDescent="0.2">
      <c r="A21" s="921"/>
      <c r="B21" s="608"/>
      <c r="C21" s="1" t="str">
        <f>IF(Francais,"• Fond Bleu pour Analyse Couleur ","• Blue Background for Color Analysis ") &amp; INDEX(({"STD";"LA";"LC"}),FOLIA_IndexScanner) &amp; IF(Francais,""," Scanner")</f>
        <v>• Fond Bleu pour Analyse Couleur STD</v>
      </c>
      <c r="D21" s="1" t="str">
        <f>IF(FOLIA_PosiOrBlueBG_Checkbox,
IF(Francais,"• Fond Bleu pour Analyse Couleur pour scanner " &amp; INDEX(({"STD";"LA";"LC"}),FOLIA_IndexScanner),"• Blue Background for Color Analysis for " &amp; INDEX(({"STD";"LA";"LC"}),FOLIA_IndexScanner) &amp; " scanner"),
IF(Francais,"• Fond Bleu non inclus","• No Blue Background included"))</f>
        <v>• Fond Bleu pour Analyse Couleur pour scanner STD</v>
      </c>
      <c r="H21" s="15"/>
      <c r="I21" s="591"/>
    </row>
    <row r="22" spans="1:10" x14ac:dyDescent="0.2">
      <c r="A22" s="921"/>
      <c r="B22" s="608"/>
      <c r="D22" s="131" t="str">
        <f>IF(Francais,"Option (pour LA seulement)","Option (for LA only):")</f>
        <v>Option (pour LA seulement)</v>
      </c>
      <c r="E22" s="44" t="str">
        <f>IF(Francais,"• Lumière spéciale (LS) pour scanner Feuilles, Racines, Graines ou Aiguilles","• Special Light (SL) to scan Leaves differently, Roots, Seeds &amp; Needles")</f>
        <v>• Lumière spéciale (LS) pour scanner Feuilles, Racines, Graines ou Aiguilles</v>
      </c>
      <c r="G22" s="132">
        <f>IF(FOLIA_ClientWithOrWithoutScanner=1,IF(FOLIA_IndexScanner=2,PrixTPU,0),0)</f>
        <v>0</v>
      </c>
      <c r="H22" s="15"/>
      <c r="I22" s="591"/>
    </row>
    <row r="23" spans="1:10" ht="18" customHeight="1" x14ac:dyDescent="0.2">
      <c r="B23" s="654"/>
      <c r="C23" s="646" t="str">
        <f>IF(Francais, "Accessoires Optionnels","Optional Accessories")</f>
        <v>Accessoires Optionnels</v>
      </c>
      <c r="D23" s="653"/>
      <c r="E23" s="155"/>
      <c r="F23" s="155"/>
      <c r="G23" s="655" t="str">
        <f>IF(Francais,"Sous-Total Accessoires : ","Sub-Total Accessories : ")</f>
        <v xml:space="preserve">Sous-Total Accessoires : </v>
      </c>
      <c r="H23" s="156">
        <f>ROUND(0*(FOLIA_Option1-1)+
G24*(FOLIA_Option2-1)+
G25*(FOLIA_Option3-1)+
G26*(FOLIA_Option4-1),0)</f>
        <v>0</v>
      </c>
      <c r="I23" s="656"/>
    </row>
    <row r="24" spans="1:10" ht="15.75" customHeight="1" x14ac:dyDescent="0.2">
      <c r="A24" s="912" t="str">
        <f xml:space="preserve"> "4) " &amp;
IF(Francais,"Choisir accessoires en extra si désiré. →","Choose extra accessories if you want. →")</f>
        <v>4) Choisir accessoires en extra si désiré. →</v>
      </c>
      <c r="B24" s="601"/>
      <c r="C24" s="340"/>
      <c r="D24" s="1" t="str">
        <f>IF(Francais,"PICK* 12"" x 16"" Incl. 1 Presse-feuille Bleu, 1 Blanc " &amp; "&amp;" &amp; " Cibles d'Étalonnage","12"" x 16"" PICK* Incl. 1 White, 1 Blue Leaf Press " &amp; "&amp;" &amp; " Calibration Targets")</f>
        <v>PICK* 12" x 16" Incl. 1 Presse-feuille Bleu, 1 Blanc &amp; Cibles d'Étalonnage</v>
      </c>
      <c r="E24" s="43"/>
      <c r="G24" s="135">
        <f>Calc!A25</f>
        <v>246</v>
      </c>
      <c r="H24" s="136"/>
      <c r="I24" s="926">
        <v>900691</v>
      </c>
    </row>
    <row r="25" spans="1:10" x14ac:dyDescent="0.2">
      <c r="A25" s="912"/>
      <c r="B25" s="601"/>
      <c r="C25" s="16" t="str">
        <f>IF(Francais,"   (avec l'achat ou la possession de WinFOLIA uniquement)","   (if you buy or own WinFOLIA only)")</f>
        <v xml:space="preserve">   (avec l'achat ou la possession de WinFOLIA uniquement)</v>
      </c>
      <c r="D25" s="1" t="str">
        <f>IF(Francais,"PICK* 18"" x 24"" Incl. 1 Presse-feuille Bleu, 1 Blanc " &amp; "&amp;" &amp; " Cibles d'Étalonnage","18"" x 24"" PICK* Incl. 1 White, 1 Blue Leaf Press " &amp; "&amp;" &amp; " Calibration Targets")</f>
        <v>PICK* 18" x 24" Incl. 1 Presse-feuille Bleu, 1 Blanc &amp; Cibles d'Étalonnage</v>
      </c>
      <c r="E25" s="44"/>
      <c r="G25" s="135">
        <f>Calc!A26</f>
        <v>457</v>
      </c>
      <c r="H25" s="136"/>
      <c r="I25" s="926"/>
      <c r="J25" s="14"/>
    </row>
    <row r="26" spans="1:10" x14ac:dyDescent="0.2">
      <c r="A26" s="912"/>
      <c r="B26" s="601"/>
      <c r="C26" s="16"/>
      <c r="D26" s="1" t="str">
        <f>IF(Francais,"Fond Bleu pour Analyse Couleur","Blue Background for Color Analysis")</f>
        <v>Fond Bleu pour Analyse Couleur</v>
      </c>
      <c r="E26" s="44"/>
      <c r="G26" s="135">
        <f>INDEX((PrixBlBgSTD_LA_LC),,,FOLIA_IndexScanner)</f>
        <v>28</v>
      </c>
      <c r="H26" s="136"/>
      <c r="I26" s="926"/>
      <c r="J26" s="14"/>
    </row>
    <row r="27" spans="1:10" x14ac:dyDescent="0.2">
      <c r="B27" s="650"/>
      <c r="C27" s="603"/>
      <c r="D27" s="604" t="s">
        <v>15</v>
      </c>
      <c r="E27" s="657"/>
      <c r="F27" s="604"/>
      <c r="G27" s="658"/>
      <c r="H27" s="604"/>
      <c r="I27" s="659"/>
      <c r="J27" s="14"/>
    </row>
    <row r="28" spans="1:10" ht="26.25" customHeight="1" x14ac:dyDescent="0.2">
      <c r="C28" s="45"/>
      <c r="F28" s="702"/>
      <c r="G28" s="703" t="str">
        <f>IF(Francais,"SOUS-TOTAL MATÉRIEL:","HARDWARE SUBTOTAL:")</f>
        <v>SOUS-TOTAL MATÉRIEL:</v>
      </c>
      <c r="H28" s="704">
        <f>IF(ISNUMBER(H14),H14,0)+H23</f>
        <v>0</v>
      </c>
      <c r="I28" s="706"/>
      <c r="J28" s="14"/>
    </row>
    <row r="29" spans="1:10" x14ac:dyDescent="0.2">
      <c r="C29" s="45"/>
      <c r="I29" s="1"/>
      <c r="J29" s="14"/>
    </row>
    <row r="30" spans="1:10" ht="31" x14ac:dyDescent="0.2">
      <c r="A30" s="322" t="s">
        <v>170</v>
      </c>
      <c r="B30" s="315"/>
      <c r="C30" s="316"/>
      <c r="D30" s="316"/>
      <c r="E30" s="707" t="str">
        <f>A30 &amp; IF(Francais, " Logiciel et Matériel"," Software &amp; Hardware")</f>
        <v>WinFOLIA™ Logiciel et Matériel</v>
      </c>
      <c r="F30" s="582"/>
      <c r="G30" s="583" t="s">
        <v>771</v>
      </c>
      <c r="H30" s="584">
        <f>(H4)+IF(ISNUMBER(H14),H14,0)+H23</f>
        <v>0</v>
      </c>
      <c r="I30" s="574"/>
      <c r="J30" s="14"/>
    </row>
    <row r="31" spans="1:10" ht="19" x14ac:dyDescent="0.2">
      <c r="C31" s="45"/>
      <c r="G31" s="720" t="str">
        <f>IF(Francais,"Valide jusqu'au","Valid until")</f>
        <v>Valide jusqu'au</v>
      </c>
      <c r="H31" s="318" t="s">
        <v>795</v>
      </c>
      <c r="I31" s="1"/>
      <c r="J31" s="14"/>
    </row>
    <row r="32" spans="1:10" x14ac:dyDescent="0.2">
      <c r="A32" s="717"/>
      <c r="B32" s="715"/>
      <c r="C32" s="715"/>
      <c r="D32" s="717"/>
      <c r="E32" s="718" t="str">
        <f>HYPERLINK("mailto:sales@regentinstruments.com",IF(Francais,"Pour des questions ou pour placer une commande, contactez: sales@regentinstruments.com","For questions or to place an order contact: sales@regentinstruments.com"))</f>
        <v>Pour des questions ou pour placer une commande, contactez: sales@regentinstruments.com</v>
      </c>
      <c r="F32" s="715"/>
      <c r="G32" s="715"/>
      <c r="H32" s="715"/>
      <c r="I32" s="715"/>
    </row>
  </sheetData>
  <sheetProtection algorithmName="SHA-512" hashValue="ctUTUMSApNnsYakkMWfvFsgC0aeM963NYfhP6TkTxO9Z+hTXUyKmyo0X1iXAOlZT2aDIZWGM/R07T+fzlFmARg==" saltValue="pBjYgaHYOT5Z+0j8Z+38xw==" spinCount="100000" sheet="1" objects="1" scenarios="1" selectLockedCells="1"/>
  <mergeCells count="12">
    <mergeCell ref="J1:J7"/>
    <mergeCell ref="J10:J13"/>
    <mergeCell ref="A24:A26"/>
    <mergeCell ref="I24:I26"/>
    <mergeCell ref="F8:I8"/>
    <mergeCell ref="G15:H16"/>
    <mergeCell ref="D16:E16"/>
    <mergeCell ref="D15:E15"/>
    <mergeCell ref="D14:E14"/>
    <mergeCell ref="A14:A22"/>
    <mergeCell ref="A2:A12"/>
    <mergeCell ref="C17:C18"/>
  </mergeCells>
  <conditionalFormatting sqref="G10 G5:G6">
    <cfRule type="expression" dxfId="96" priority="95">
      <formula>IF(N("Si Downgrade prix=0 else Prix")+OR( IF(N("Si on downgrade model")+FOLIA_IndexModelSoftware&lt;FOLIA_IndexModelClient,1,0), IF(N("Si on downgrade de 64bits à 32bits")+AND(FOLIA_IndexClientVersion&gt;FOLIA_UpgradeNModels,FOLIA_IndexSoftware&lt;=FOLIA_UpgradeNModels),1,0) ),1,0)</formula>
    </cfRule>
  </conditionalFormatting>
  <conditionalFormatting sqref="D15:D16 D18:D21">
    <cfRule type="expression" dxfId="95" priority="93">
      <formula>NOT(Checkbox_Descriptions)</formula>
    </cfRule>
  </conditionalFormatting>
  <conditionalFormatting sqref="G22 D22:E22">
    <cfRule type="expression" dxfId="94" priority="84">
      <formula>IF(FOLIA_IndexScanner=2,0,1)</formula>
    </cfRule>
  </conditionalFormatting>
  <conditionalFormatting sqref="G22 D22:E22">
    <cfRule type="expression" dxfId="93" priority="83">
      <formula>IF(FOLIA_ClientWithOrWithoutScanner=1,0,1)</formula>
    </cfRule>
  </conditionalFormatting>
  <conditionalFormatting sqref="H30 H11 G4:G6 H28 G14 H23">
    <cfRule type="expression" dxfId="92" priority="96">
      <formula>OR(IndexZone=5)</formula>
    </cfRule>
    <cfRule type="expression" dxfId="91" priority="97">
      <formula>OR(IndexZone=3, IndexZone=8, IndexZone=10)</formula>
    </cfRule>
  </conditionalFormatting>
  <conditionalFormatting sqref="H14">
    <cfRule type="expression" dxfId="90" priority="59">
      <formula>ISTEXT($H$14)</formula>
    </cfRule>
  </conditionalFormatting>
  <conditionalFormatting sqref="C24">
    <cfRule type="expression" dxfId="89" priority="56">
      <formula>NOT(Checkbox_Descriptions)</formula>
    </cfRule>
  </conditionalFormatting>
  <conditionalFormatting sqref="D7:D8">
    <cfRule type="expression" dxfId="88" priority="42">
      <formula>NOT(Checkbox_Descriptions)</formula>
    </cfRule>
  </conditionalFormatting>
  <conditionalFormatting sqref="D17">
    <cfRule type="expression" dxfId="87" priority="20">
      <formula>NOT(Checkbox_Descriptions)</formula>
    </cfRule>
  </conditionalFormatting>
  <conditionalFormatting sqref="J1">
    <cfRule type="expression" dxfId="86" priority="12">
      <formula>NOT(Checkbox_Instructions)</formula>
    </cfRule>
  </conditionalFormatting>
  <conditionalFormatting sqref="F5:G6">
    <cfRule type="expression" dxfId="85" priority="11">
      <formula>IF(FOLIA_ChkBox_UpgradeUpdate,0,1)</formula>
    </cfRule>
  </conditionalFormatting>
  <conditionalFormatting sqref="A14">
    <cfRule type="expression" dxfId="84" priority="4">
      <formula>NOT(Checkbox_Instructions)</formula>
    </cfRule>
  </conditionalFormatting>
  <conditionalFormatting sqref="A24">
    <cfRule type="expression" dxfId="83" priority="3">
      <formula>NOT(Checkbox_Instructions)</formula>
    </cfRule>
  </conditionalFormatting>
  <conditionalFormatting sqref="A2">
    <cfRule type="expression" dxfId="82" priority="1">
      <formula>NOT(Checkbox_Instructions)</formula>
    </cfRule>
  </conditionalFormatting>
  <dataValidations disablePrompts="1" count="1">
    <dataValidation type="custom" allowBlank="1" showInputMessage="1" showErrorMessage="1" sqref="G15:H16 F8" xr:uid="{00000000-0002-0000-0600-000000000000}">
      <formula1>"&lt;0&gt;0"</formula1>
    </dataValidation>
  </dataValidations>
  <pageMargins left="0.7" right="0.7" top="0.75" bottom="0.75" header="0.3" footer="0.3"/>
  <pageSetup scale="53" orientation="landscape"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70657" r:id="rId4" name="Check Box 1">
              <controlPr defaultSize="0" autoFill="0" autoLine="0" autoPict="0">
                <anchor moveWithCells="1" sizeWithCells="1">
                  <from>
                    <xdr:col>5</xdr:col>
                    <xdr:colOff>25400</xdr:colOff>
                    <xdr:row>0</xdr:row>
                    <xdr:rowOff>25400</xdr:rowOff>
                  </from>
                  <to>
                    <xdr:col>5</xdr:col>
                    <xdr:colOff>1092200</xdr:colOff>
                    <xdr:row>0</xdr:row>
                    <xdr:rowOff>228600</xdr:rowOff>
                  </to>
                </anchor>
              </controlPr>
            </control>
          </mc:Choice>
        </mc:AlternateContent>
        <mc:AlternateContent xmlns:mc="http://schemas.openxmlformats.org/markup-compatibility/2006">
          <mc:Choice Requires="x14">
            <control shapeId="70674" r:id="rId5" name="Drop Down 18">
              <controlPr defaultSize="0" autoLine="0" autoPict="0">
                <anchor moveWithCells="1" sizeWithCells="1">
                  <from>
                    <xdr:col>1</xdr:col>
                    <xdr:colOff>0</xdr:colOff>
                    <xdr:row>13</xdr:row>
                    <xdr:rowOff>101600</xdr:rowOff>
                  </from>
                  <to>
                    <xdr:col>2</xdr:col>
                    <xdr:colOff>25400</xdr:colOff>
                    <xdr:row>13</xdr:row>
                    <xdr:rowOff>292100</xdr:rowOff>
                  </to>
                </anchor>
              </controlPr>
            </control>
          </mc:Choice>
        </mc:AlternateContent>
        <mc:AlternateContent xmlns:mc="http://schemas.openxmlformats.org/markup-compatibility/2006">
          <mc:Choice Requires="x14">
            <control shapeId="70681" r:id="rId6" name="Drop Down 25">
              <controlPr defaultSize="0" autoLine="0" autoPict="0">
                <anchor moveWithCells="1" sizeWithCells="1">
                  <from>
                    <xdr:col>5</xdr:col>
                    <xdr:colOff>368300</xdr:colOff>
                    <xdr:row>21</xdr:row>
                    <xdr:rowOff>25400</xdr:rowOff>
                  </from>
                  <to>
                    <xdr:col>5</xdr:col>
                    <xdr:colOff>749300</xdr:colOff>
                    <xdr:row>21</xdr:row>
                    <xdr:rowOff>177800</xdr:rowOff>
                  </to>
                </anchor>
              </controlPr>
            </control>
          </mc:Choice>
        </mc:AlternateContent>
        <mc:AlternateContent xmlns:mc="http://schemas.openxmlformats.org/markup-compatibility/2006">
          <mc:Choice Requires="x14">
            <control shapeId="70693" r:id="rId7" name="ScannerCheckbox">
              <controlPr defaultSize="0" autoFill="0" autoLine="0" autoPict="0">
                <anchor moveWithCells="1" sizeWithCells="1">
                  <from>
                    <xdr:col>1</xdr:col>
                    <xdr:colOff>101600</xdr:colOff>
                    <xdr:row>13</xdr:row>
                    <xdr:rowOff>355600</xdr:rowOff>
                  </from>
                  <to>
                    <xdr:col>2</xdr:col>
                    <xdr:colOff>711200</xdr:colOff>
                    <xdr:row>15</xdr:row>
                    <xdr:rowOff>25400</xdr:rowOff>
                  </to>
                </anchor>
              </controlPr>
            </control>
          </mc:Choice>
        </mc:AlternateContent>
        <mc:AlternateContent xmlns:mc="http://schemas.openxmlformats.org/markup-compatibility/2006">
          <mc:Choice Requires="x14">
            <control shapeId="70695" r:id="rId8" name="DropDown_IndexScanner">
              <controlPr defaultSize="0" autoLine="0" autoPict="0">
                <anchor moveWithCells="1" sizeWithCells="1">
                  <from>
                    <xdr:col>2</xdr:col>
                    <xdr:colOff>736600</xdr:colOff>
                    <xdr:row>14</xdr:row>
                    <xdr:rowOff>0</xdr:rowOff>
                  </from>
                  <to>
                    <xdr:col>2</xdr:col>
                    <xdr:colOff>2006600</xdr:colOff>
                    <xdr:row>15</xdr:row>
                    <xdr:rowOff>25400</xdr:rowOff>
                  </to>
                </anchor>
              </controlPr>
            </control>
          </mc:Choice>
        </mc:AlternateContent>
        <mc:AlternateContent xmlns:mc="http://schemas.openxmlformats.org/markup-compatibility/2006">
          <mc:Choice Requires="x14">
            <control shapeId="70682" r:id="rId9" name="Drop Down 26">
              <controlPr defaultSize="0" autoLine="0" autoPict="0">
                <anchor moveWithCells="1" sizeWithCells="1">
                  <from>
                    <xdr:col>5</xdr:col>
                    <xdr:colOff>368300</xdr:colOff>
                    <xdr:row>23</xdr:row>
                    <xdr:rowOff>25400</xdr:rowOff>
                  </from>
                  <to>
                    <xdr:col>5</xdr:col>
                    <xdr:colOff>749300</xdr:colOff>
                    <xdr:row>23</xdr:row>
                    <xdr:rowOff>177800</xdr:rowOff>
                  </to>
                </anchor>
              </controlPr>
            </control>
          </mc:Choice>
        </mc:AlternateContent>
        <mc:AlternateContent xmlns:mc="http://schemas.openxmlformats.org/markup-compatibility/2006">
          <mc:Choice Requires="x14">
            <control shapeId="70683" r:id="rId10" name="Drop Down 27">
              <controlPr defaultSize="0" autoLine="0" autoPict="0">
                <anchor moveWithCells="1" sizeWithCells="1">
                  <from>
                    <xdr:col>5</xdr:col>
                    <xdr:colOff>368300</xdr:colOff>
                    <xdr:row>24</xdr:row>
                    <xdr:rowOff>25400</xdr:rowOff>
                  </from>
                  <to>
                    <xdr:col>5</xdr:col>
                    <xdr:colOff>749300</xdr:colOff>
                    <xdr:row>24</xdr:row>
                    <xdr:rowOff>177800</xdr:rowOff>
                  </to>
                </anchor>
              </controlPr>
            </control>
          </mc:Choice>
        </mc:AlternateContent>
        <mc:AlternateContent xmlns:mc="http://schemas.openxmlformats.org/markup-compatibility/2006">
          <mc:Choice Requires="x14">
            <control shapeId="70685" r:id="rId11" name="Drop Down 29">
              <controlPr defaultSize="0" autoLine="0" autoPict="0">
                <anchor moveWithCells="1" sizeWithCells="1">
                  <from>
                    <xdr:col>5</xdr:col>
                    <xdr:colOff>368300</xdr:colOff>
                    <xdr:row>25</xdr:row>
                    <xdr:rowOff>25400</xdr:rowOff>
                  </from>
                  <to>
                    <xdr:col>5</xdr:col>
                    <xdr:colOff>749300</xdr:colOff>
                    <xdr:row>25</xdr:row>
                    <xdr:rowOff>177800</xdr:rowOff>
                  </to>
                </anchor>
              </controlPr>
            </control>
          </mc:Choice>
        </mc:AlternateContent>
        <mc:AlternateContent xmlns:mc="http://schemas.openxmlformats.org/markup-compatibility/2006">
          <mc:Choice Requires="x14">
            <control shapeId="70696" r:id="rId12" name="PosiOrBlueBG_Checkbox">
              <controlPr defaultSize="0" autoFill="0" autoLine="0" autoPict="0">
                <anchor moveWithCells="1" sizeWithCells="1">
                  <from>
                    <xdr:col>1</xdr:col>
                    <xdr:colOff>101600</xdr:colOff>
                    <xdr:row>19</xdr:row>
                    <xdr:rowOff>165100</xdr:rowOff>
                  </from>
                  <to>
                    <xdr:col>2</xdr:col>
                    <xdr:colOff>2870200</xdr:colOff>
                    <xdr:row>21</xdr:row>
                    <xdr:rowOff>25400</xdr:rowOff>
                  </to>
                </anchor>
              </controlPr>
            </control>
          </mc:Choice>
        </mc:AlternateContent>
        <mc:AlternateContent xmlns:mc="http://schemas.openxmlformats.org/markup-compatibility/2006">
          <mc:Choice Requires="x14">
            <control shapeId="70699" r:id="rId13" name="DropDown_N_SoftwareOrUpg">
              <controlPr defaultSize="0" autoLine="0" autoPict="0">
                <anchor moveWithCells="1">
                  <from>
                    <xdr:col>1</xdr:col>
                    <xdr:colOff>0</xdr:colOff>
                    <xdr:row>3</xdr:row>
                    <xdr:rowOff>25400</xdr:rowOff>
                  </from>
                  <to>
                    <xdr:col>2</xdr:col>
                    <xdr:colOff>25400</xdr:colOff>
                    <xdr:row>3</xdr:row>
                    <xdr:rowOff>215900</xdr:rowOff>
                  </to>
                </anchor>
              </controlPr>
            </control>
          </mc:Choice>
        </mc:AlternateContent>
        <mc:AlternateContent xmlns:mc="http://schemas.openxmlformats.org/markup-compatibility/2006">
          <mc:Choice Requires="x14">
            <control shapeId="70670" r:id="rId14" name="Drop Down 14">
              <controlPr defaultSize="0" autoLine="0" autoPict="0">
                <anchor moveWithCells="1">
                  <from>
                    <xdr:col>4</xdr:col>
                    <xdr:colOff>76200</xdr:colOff>
                    <xdr:row>2</xdr:row>
                    <xdr:rowOff>215900</xdr:rowOff>
                  </from>
                  <to>
                    <xdr:col>4</xdr:col>
                    <xdr:colOff>3136900</xdr:colOff>
                    <xdr:row>4</xdr:row>
                    <xdr:rowOff>12700</xdr:rowOff>
                  </to>
                </anchor>
              </controlPr>
            </control>
          </mc:Choice>
        </mc:AlternateContent>
        <mc:AlternateContent xmlns:mc="http://schemas.openxmlformats.org/markup-compatibility/2006">
          <mc:Choice Requires="x14">
            <control shapeId="70684" r:id="rId15" name="Drop Down 28">
              <controlPr defaultSize="0" autoLine="0" autoPict="0">
                <anchor moveWithCells="1" sizeWithCells="1">
                  <from>
                    <xdr:col>9</xdr:col>
                    <xdr:colOff>114300</xdr:colOff>
                    <xdr:row>8</xdr:row>
                    <xdr:rowOff>12700</xdr:rowOff>
                  </from>
                  <to>
                    <xdr:col>9</xdr:col>
                    <xdr:colOff>863600</xdr:colOff>
                    <xdr:row>8</xdr:row>
                    <xdr:rowOff>215900</xdr:rowOff>
                  </to>
                </anchor>
              </controlPr>
            </control>
          </mc:Choice>
        </mc:AlternateContent>
        <mc:AlternateContent xmlns:mc="http://schemas.openxmlformats.org/markup-compatibility/2006">
          <mc:Choice Requires="x14">
            <control shapeId="70675" r:id="rId16" name="DropDown_IndexClientVersion">
              <controlPr defaultSize="0" autoLine="0" autoPict="0">
                <anchor moveWithCells="1" sizeWithCells="1">
                  <from>
                    <xdr:col>4</xdr:col>
                    <xdr:colOff>76200</xdr:colOff>
                    <xdr:row>4</xdr:row>
                    <xdr:rowOff>0</xdr:rowOff>
                  </from>
                  <to>
                    <xdr:col>4</xdr:col>
                    <xdr:colOff>1473200</xdr:colOff>
                    <xdr:row>5</xdr:row>
                    <xdr:rowOff>0</xdr:rowOff>
                  </to>
                </anchor>
              </controlPr>
            </control>
          </mc:Choice>
        </mc:AlternateContent>
        <mc:AlternateContent xmlns:mc="http://schemas.openxmlformats.org/markup-compatibility/2006">
          <mc:Choice Requires="x14">
            <control shapeId="70698" r:id="rId17" name="ChkB_UpgradeUpdate">
              <controlPr defaultSize="0" autoFill="0" autoLine="0" autoPict="0">
                <anchor moveWithCells="1" sizeWithCells="1">
                  <from>
                    <xdr:col>2</xdr:col>
                    <xdr:colOff>88900</xdr:colOff>
                    <xdr:row>4</xdr:row>
                    <xdr:rowOff>12700</xdr:rowOff>
                  </from>
                  <to>
                    <xdr:col>2</xdr:col>
                    <xdr:colOff>2984500</xdr:colOff>
                    <xdr:row>4</xdr:row>
                    <xdr:rowOff>215900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tabColor rgb="FFFFC000"/>
    <pageSetUpPr fitToPage="1"/>
  </sheetPr>
  <dimension ref="A1:P32"/>
  <sheetViews>
    <sheetView showGridLines="0" zoomScaleNormal="100" workbookViewId="0">
      <selection activeCell="D5" sqref="D5"/>
    </sheetView>
  </sheetViews>
  <sheetFormatPr baseColWidth="10" defaultColWidth="0" defaultRowHeight="16" zeroHeight="1" x14ac:dyDescent="0.2"/>
  <cols>
    <col min="1" max="1" width="15.1640625" customWidth="1"/>
    <col min="2" max="2" width="5.6640625" style="1" customWidth="1"/>
    <col min="3" max="3" width="39.1640625" style="1" customWidth="1"/>
    <col min="4" max="4" width="11.1640625" style="1" customWidth="1"/>
    <col min="5" max="5" width="52.1640625" style="1" customWidth="1"/>
    <col min="6" max="7" width="14.1640625" style="1" customWidth="1"/>
    <col min="8" max="8" width="14.1640625" style="1" bestFit="1" customWidth="1"/>
    <col min="9" max="9" width="14.1640625" customWidth="1"/>
    <col min="10" max="10" width="17.5" customWidth="1"/>
    <col min="11" max="16" width="10.6640625" customWidth="1"/>
    <col min="17" max="16384" width="10.6640625" hidden="1"/>
  </cols>
  <sheetData>
    <row r="1" spans="1:16" ht="21.5" customHeight="1" x14ac:dyDescent="0.2">
      <c r="A1" s="111"/>
      <c r="B1" s="319" t="str">
        <f>$A$30 &amp; IF(Francais," Liste de Prix V. "," Price List V. ") &amp; YearOfList &amp;
IF(Francais, " en devise "," in ") &amp; IF(IndexCurrency=3,"USD",IF(IndexCurrency=2,"Euro","CAD")) &amp; IF(Francais, ""," Currency")</f>
        <v>WinCAM™ Liste de Prix V. 2026 en devise USD</v>
      </c>
      <c r="C1" s="320"/>
      <c r="G1" s="321"/>
      <c r="H1" s="15"/>
      <c r="J1" s="911" t="str">
        <f>IF(Francais,
"2) Si vous avez déjà "&amp; SUBSTITUTE(A30,"™","") &amp; ", indiquez combien de licences (pour un rabais)." &amp; CONCATENATE(CHAR(10), REPT(" ",9), "↓"),
"2) If you already own "&amp; SUBSTITUTE(A30,"™","") &amp; ", indicate how many licences (to get a discount)." &amp; CONCATENATE(CHAR(10), REPT(" ", 9), "↓"))</f>
        <v>2) Si vous avez déjà WinCAM, indiquez combien de licences (pour un rabais).
         ↓</v>
      </c>
    </row>
    <row r="2" spans="1:16" s="1" customFormat="1" ht="30" customHeight="1" x14ac:dyDescent="0.2">
      <c r="A2" s="922" t="str">
        <f>IF(Francais,
"1) Choisir combien de license(s) et le modèle du logiciel à acheter" &amp; IF(Checkbox_Updates=TRUE," / mettre à jour.","."),
"1) Select how many license(s) and which model to buy" &amp; IF(Checkbox_Updates=TRUE," or update to.",".") )
&amp; " →"&amp; CHAR(10)  &amp; IF(Checkbox_Updates=TRUE,IF(Francais,
"Pour mettre " &amp; "→" &amp; CHAR(10) &amp; "à jour des licenses, cochez la case, entrée l'année et sélectionnez le modèle que vous possédez.",
"To update " &amp; "→" &amp; CHAR(10)  &amp; "license(s), "  &amp; "check this box, enter the year and select the model you own."),
"")</f>
        <v>1) Choisir combien de license(s) et le modèle du logiciel à acheter / mettre à jour. →
Pour mettre →
à jour des licenses, cochez la case, entrée l'année et sélectionnez le modèle que vous possédez.</v>
      </c>
      <c r="B2" s="585"/>
      <c r="C2" s="586" t="str">
        <f>IF(Francais,"Logiciel","Software")</f>
        <v>Logiciel</v>
      </c>
      <c r="D2" s="587"/>
      <c r="E2" s="587"/>
      <c r="F2" s="587"/>
      <c r="G2" s="587"/>
      <c r="H2" s="587"/>
      <c r="I2" s="588"/>
      <c r="J2" s="911"/>
    </row>
    <row r="3" spans="1:16" s="1" customFormat="1" ht="18" customHeight="1" x14ac:dyDescent="0.2">
      <c r="A3" s="922"/>
      <c r="B3" s="660"/>
      <c r="C3" s="627"/>
      <c r="D3" s="627"/>
      <c r="E3" s="590" t="str">
        <f>REPT(" ",15) &amp; IF(Francais,"Modèle","Model")</f>
        <v xml:space="preserve">               Modèle</v>
      </c>
      <c r="F3" s="627"/>
      <c r="G3" s="15" t="str">
        <f>IF(Francais,"Prix Unit. de Liste","Item List Price")</f>
        <v>Prix Unit. de Liste</v>
      </c>
      <c r="H3" s="15" t="str">
        <f>IF(Francais,"Prix de liste","List Price")</f>
        <v>Prix de liste</v>
      </c>
      <c r="I3" s="591" t="str">
        <f>IF(Francais,"Code Harmonisé","Harmonized Code")</f>
        <v>Code Harmonisé</v>
      </c>
      <c r="J3" s="911"/>
    </row>
    <row r="4" spans="1:16" ht="18" customHeight="1" x14ac:dyDescent="0.2">
      <c r="A4" s="922"/>
      <c r="B4" s="661"/>
      <c r="C4" s="662" t="str">
        <f>IF(Francais,"License(s) Logiciel " &amp; $A$30,$A$30&amp;" Software License(s)")</f>
        <v>License(s) Logiciel WinCAM™</v>
      </c>
      <c r="D4" s="663"/>
      <c r="E4" s="663"/>
      <c r="F4" s="663"/>
      <c r="G4" s="163">
        <f>IF(CAM_ChkBox_UpgradeUpdate,IFERROR(H4/(CAM_N_UpgradeUpdate-1),0),
IFERROR(H4/(CAM_N_Software-1),0))</f>
        <v>0</v>
      </c>
      <c r="H4" s="196">
        <f>IF(CAM_ChkBox_UpgradeUpdate,ROUND((G5+G6)*(CAM_N_UpgradeUpdate-1),0),
ROUND((INDEX(CAM_SoftwarePriceList,CAM_IndexSoftware))*
IF(CAM_N_Software-1=0,0,SUM(MMULT(
  _xlfn.MUNIT(
   CAM_N_Software-1),
    INDEX(TableLists[Column10],CAM_N_AlreadyHaveSoftware-1+2):
    INDEX(TableLists[Column10],(CAM_N_AlreadyHaveSoftware-1+1)+(CAM_N_Software-1))
))),0))</f>
        <v>0</v>
      </c>
      <c r="I4" s="664">
        <v>852349</v>
      </c>
      <c r="J4" s="911"/>
    </row>
    <row r="5" spans="1:16" ht="18" customHeight="1" x14ac:dyDescent="0.2">
      <c r="A5" s="922"/>
      <c r="B5" s="600"/>
      <c r="C5" s="708" t="str">
        <f>IF(Francais,"Mise à jour d'une vieille version",
"Update from an older version")</f>
        <v>Mise à jour d'une vieille version</v>
      </c>
      <c r="D5" s="752">
        <v>2019</v>
      </c>
      <c r="E5" s="203" t="str">
        <f>IF(CAM_N_UpgradeUpdate&gt;1,
IF(N("Si on downgrade model")+CAM_IndexModelSoftware&lt;CAM_IndexModelClient,"Downgrading model is not possible",""),"")</f>
        <v/>
      </c>
      <c r="F5" s="128" t="str">
        <f>IF(Francais,"Coût mise à jour","Update cost")</f>
        <v>Coût mise à jour</v>
      </c>
      <c r="G5" s="170">
        <f>IF(N("Si Downgrade prix=0 else Prix")+OR(
IF(N("Si on downgrade model")+CAM_IndexModelSoftware&lt;CAM_IndexModelClient,1,0),
IF(N("Si no update")+CAM_YearMostRecent&lt;=CAM_YearClient,1,0)
),0,
N("PrixUpdate:")+(MAX(INDEX(CAM_SoftwarePriceList,(CAM_IndexClientVersion))*(1-(1-UpdateResidualValueAfterAnneesMax))*(MIN(CAM_YearMostRecent-CAM_YearClient,UpdateNAnnesMax))/UpdateNAnnesMax,UpdateMinPrice)+CteUpdate)*(VARS_PriceRise2026_Updates)
)</f>
        <v>480</v>
      </c>
      <c r="H5" s="712"/>
      <c r="I5" s="709"/>
      <c r="J5" s="911"/>
    </row>
    <row r="6" spans="1:16" ht="18" customHeight="1" x14ac:dyDescent="0.2">
      <c r="A6" s="922"/>
      <c r="B6" s="596"/>
      <c r="C6" s="1" t="str">
        <f>IF(CAM_ChkBox_UpgradeUpdate, REPT(" ",6) &amp; IF(Francais,
"Si Mise à jour, la licence actuelle devient inutilisable. Votre clé doit être renvoyée pour un échange ou reprogrammée pour la nouvelle version.",
"When updating, you can't use your current license anymore. Your key must be returned for an exchange or reprogrammed for the new version."
),"")</f>
        <v/>
      </c>
      <c r="D6" s="680"/>
      <c r="E6" s="680"/>
      <c r="F6" s="128" t="str">
        <f>IF(Francais,"Coût mise à niveau","Upgrade cost")</f>
        <v>Coût mise à niveau</v>
      </c>
      <c r="G6" s="171">
        <f>IF(N("Si Downgrade prix=0 else Prix")+OR(
IF(N("Si on downgrade model")+CAM_IndexModelSoftware&lt;CAM_IndexModelClient,1,0)),0,
N("PrixUpgrade :")+(IF(AND((CAM_IndexSoftware-CAM_IndexClientVersion)&gt;0,CAM_IndexSoftware&lt;&gt;CAM_IndexClientVersion),INDEX(CAM_SoftwarePriceList,CAM_IndexSoftware)-INDEX(CAM_SoftwarePriceList,CAM_IndexClientVersion),0))
)</f>
        <v>0</v>
      </c>
      <c r="H6" s="712"/>
      <c r="I6" s="709"/>
      <c r="J6" s="911"/>
    </row>
    <row r="7" spans="1:16" ht="18" customHeight="1" x14ac:dyDescent="0.2">
      <c r="A7" s="922"/>
      <c r="B7" s="596"/>
      <c r="C7" s="1" t="str">
        <f>"• " &amp; A30 &amp; " " &amp; IF(Francais,
"License Logiciel (32 et 64-bit, pour Windows 8 à 11). Manuesl d'instructions (PDF &amp; Imprimé). Pas d'activation " &amp; "&amp;" &amp;" connexion Internet requise. Licence perpétuelle (valide indéfiniment sans frais supplémentaires).",
"Software license (32 and 64-bit, for Windows 8 to 11). Instructions manuals (PDF &amp; Printed). No activation " &amp; "&amp;" &amp;" Internet connection required. Perpetual license (use it as long as you want without afterward fees)."
)</f>
        <v>• WinCAM™ License Logiciel (32 et 64-bit, pour Windows 8 à 11). Manuesl d'instructions (PDF &amp; Imprimé). Pas d'activation &amp; connexion Internet requise. Licence perpétuelle (valide indéfiniment sans frais supplémentaires).</v>
      </c>
      <c r="D7" s="201"/>
      <c r="E7" s="201"/>
      <c r="I7" s="597"/>
      <c r="J7" s="911"/>
    </row>
    <row r="8" spans="1:16" ht="18" customHeight="1" x14ac:dyDescent="0.2">
      <c r="A8" s="922"/>
      <c r="B8" s="596"/>
      <c r="C8" s="1" t="str">
        <f>IF(Francais,"• Licence perpétuelle ( utilisez-la aussi longtemps que vous le souhaitez sans frais supplémentaires).","• Perpetual license (use it as long as you want without afterward fees).")</f>
        <v>• Licence perpétuelle ( utilisez-la aussi longtemps que vous le souhaitez sans frais supplémentaires).</v>
      </c>
      <c r="D8" s="201"/>
      <c r="E8" s="201"/>
      <c r="F8" s="918" t="str">
        <f>IF(Checkbox_Instructions,HYPERLINK("https://regentinstruments.com/assets/" &amp; LOWER(LEFT($A$30,LEN($A$30)-1)) &amp; "_measurements.html?utm_source=PriceQuoteXLS",IF(Francais,"Cliquez pour voir les caractéristiques par modèle de logiciel","Click to view features per software model")),"")</f>
        <v>Cliquez pour voir les caractéristiques par modèle de logiciel</v>
      </c>
      <c r="G8" s="918"/>
      <c r="H8" s="918"/>
      <c r="I8" s="919"/>
      <c r="J8" s="143" t="str">
        <f>IF(Francais,"  Je possède", "  I own")</f>
        <v xml:space="preserve">  Je possède</v>
      </c>
    </row>
    <row r="9" spans="1:16" ht="18" customHeight="1" x14ac:dyDescent="0.2">
      <c r="A9" s="922"/>
      <c r="B9" s="598"/>
      <c r="C9" s="1" t="str">
        <f>IF(Francais,
"• Clé de protection USB (dispositif de contrôle du logiciel). Le logiciel peut être installé sur plusieurs ordinateurs du titulaire de la licence, "&amp;"mais seul celui où la clé est connectée fonctionnera (facile de déplacer la clé d'ordinateur).",
"• USB drive &amp; key (software controlling device). Software can be installed on more than one licensee's computers, but only the one which has the key connected to it can run at a time (easy to move the key from one computer to another)."
)</f>
        <v>• Clé de protection USB (dispositif de contrôle du logiciel). Le logiciel peut être installé sur plusieurs ordinateurs du titulaire de la licence, mais seul celui où la clé est connectée fonctionnera (facile de déplacer la clé d'ordinateur).</v>
      </c>
      <c r="D9" s="7"/>
      <c r="E9" s="7"/>
      <c r="I9" s="597"/>
      <c r="K9" s="332"/>
      <c r="L9" s="332"/>
      <c r="M9" s="332"/>
      <c r="N9" s="332"/>
      <c r="O9" s="332"/>
      <c r="P9" s="332"/>
    </row>
    <row r="10" spans="1:16" ht="7.5" customHeight="1" x14ac:dyDescent="0.2">
      <c r="A10" s="922"/>
      <c r="B10" s="643"/>
      <c r="C10" s="618"/>
      <c r="D10" s="618"/>
      <c r="E10" s="618"/>
      <c r="F10" s="618"/>
      <c r="G10" s="618"/>
      <c r="H10" s="618"/>
      <c r="I10" s="605"/>
      <c r="J10" s="924" t="str">
        <f>IF(Francais,"License(s) Logiciel " &amp; A30,A30&amp;" Software License(s)")</f>
        <v>License(s) Logiciel WinCAM™</v>
      </c>
    </row>
    <row r="11" spans="1:16" ht="25.5" customHeight="1" x14ac:dyDescent="0.2">
      <c r="A11" s="922"/>
      <c r="B11"/>
      <c r="C11"/>
      <c r="D11"/>
      <c r="E11"/>
      <c r="F11" s="702"/>
      <c r="G11" s="703" t="str">
        <f>IF(Francais,"SOUS-TOTAL LOGICIEL:","SOFTWARE SUBTOTAL:")</f>
        <v>SOUS-TOTAL LOGICIEL:</v>
      </c>
      <c r="H11" s="704">
        <f>H4</f>
        <v>0</v>
      </c>
      <c r="I11" s="705"/>
      <c r="J11" s="924"/>
    </row>
    <row r="12" spans="1:16" ht="10" customHeight="1" x14ac:dyDescent="0.2">
      <c r="A12" s="922"/>
      <c r="B12"/>
      <c r="C12"/>
      <c r="D12"/>
      <c r="E12"/>
      <c r="F12"/>
      <c r="G12"/>
      <c r="H12"/>
      <c r="J12" s="924"/>
    </row>
    <row r="13" spans="1:16" ht="30" customHeight="1" x14ac:dyDescent="0.2">
      <c r="A13" s="716"/>
      <c r="B13" s="585"/>
      <c r="C13" s="586" t="str">
        <f>IF(Francais,"Matériel","Hardware")</f>
        <v>Matériel</v>
      </c>
      <c r="D13" s="606"/>
      <c r="E13" s="606"/>
      <c r="F13" s="606"/>
      <c r="G13" s="606"/>
      <c r="H13" s="606"/>
      <c r="I13" s="622"/>
      <c r="J13" s="924"/>
    </row>
    <row r="14" spans="1:16" ht="30.75" customHeight="1" x14ac:dyDescent="0.2">
      <c r="A14" s="921" t="str">
        <f>"3) " &amp;
IF(Francais,"Choisir 1 ou + → pour un système avec ou sans scanner et choisir le modèle. ""Sans"" est lorque vous en avez déjà un ou devez l'acheter localement.","Select 1 or + → to get a system with or without a scanner and choose the model. ""Without"" is when you already have it or buy it locally.")</f>
        <v>3) Choisir 1 ou + → pour un système avec ou sans scanner et choisir le modèle. "Sans" est lorque vous en avez déjà un ou devez l'acheter localement.</v>
      </c>
      <c r="B14" s="665"/>
      <c r="C14" s="662" t="str">
        <f>IF(Francais,"Système(s) " &amp; $A$30, $A$30 &amp; " System(s)")</f>
        <v>Système(s) WinCAM™</v>
      </c>
      <c r="D14" s="928" t="str">
        <f>IF(Francais,
"Incluant:",
"Including:")</f>
        <v>Incluant:</v>
      </c>
      <c r="E14" s="928"/>
      <c r="F14" s="666"/>
      <c r="G14" s="165">
        <f>IFERROR(H14/(CAM_N_System-1),0)</f>
        <v>0</v>
      </c>
      <c r="H14" s="198">
        <f>IF(AND(CAM_N_Software=1,CAM_N_UpgradeUpdate=1,NOT(SuperUser),CAM_N_System&gt;1),IF(Francais,"vendu avec logiciel uniquement","sold with software only"),
ROUND((IF(CAM_ClientWithOrWithoutScanner=1,
       INDEX((PrixSTD,PrixLA,PrixLC),,,CAM_IndexScanner),
       INDEX((STD_GenCalib_Drivers_Instr_Techsup,LA_GenCalib_Drivers_Instr_Techsup,LC_GenCalib_Drivers_Instr_Techsup),,,CAM_IndexScanner))
+IF(CAM_PosiOrBlueBG_Checkbox,INDEX((PrixBlBgSTD_LA_LC),,,CAM_IndexScanner),0)
)*(CAM_N_System-1)+(CAM_OptionTPU-1)*G22,0))</f>
        <v>0</v>
      </c>
      <c r="I14" s="664">
        <v>903149</v>
      </c>
      <c r="J14" s="631"/>
    </row>
    <row r="15" spans="1:16" ht="15.75" customHeight="1" x14ac:dyDescent="0.2">
      <c r="A15" s="921"/>
      <c r="B15" s="608"/>
      <c r="C15" s="309" t="str">
        <f>"• Scanner"</f>
        <v>• Scanner</v>
      </c>
      <c r="D15" s="917" t="str">
        <f>IF(CAM_ClientWithOrWithoutScanner=1,
IF(Francais,
"• Documentation, logiciels et accessoires du manufacturier",
"• Manufacturer documentation, software and accessories"),
IF(Francais,"• Scanner non inclus","• No scanner included"))</f>
        <v>• Scanner non inclus</v>
      </c>
      <c r="E15" s="917"/>
      <c r="G15" s="915" t="str">
        <f>IF(Checkbox_Instructions,HYPERLINK("https://regentinstruments.com/assets/ourscanners.html?utm_source=PriceQuoteXLS",IF(Francais,"Cliquez pour voir les spécifications de nos scanners","Click to view our scanners specifications")),"")</f>
        <v>Cliquez pour voir les spécifications de nos scanners</v>
      </c>
      <c r="H15" s="915"/>
      <c r="I15" s="609"/>
      <c r="J15" s="631"/>
    </row>
    <row r="16" spans="1:16" ht="15.75" customHeight="1" x14ac:dyDescent="0.2">
      <c r="A16" s="921"/>
      <c r="B16" s="608"/>
      <c r="C16" s="310" t="str">
        <f>IF(Francais,"   (seulement vendu avec logiciel)","   (sold with software only)")</f>
        <v xml:space="preserve">   (seulement vendu avec logiciel)</v>
      </c>
      <c r="D16" s="917"/>
      <c r="E16" s="917"/>
      <c r="G16" s="915"/>
      <c r="H16" s="915"/>
      <c r="I16" s="597"/>
      <c r="J16" s="631"/>
    </row>
    <row r="17" spans="1:10" x14ac:dyDescent="0.2">
      <c r="A17" s="921"/>
      <c r="B17" s="608"/>
      <c r="C17" s="923" t="str">
        <f>IF(AND(CAM_IndexScanner=2,CAM_ClientWithOrWithoutScanner_ChkBox),
IF(Francais,"Restrictions d'exportation applicables: le Scanner LA peut ne pas être expédiable dans votre pays","Export Restrictions Apply: The LA Scanner cannot be sold worldwide, it might not ship to your country"),
"")</f>
        <v/>
      </c>
      <c r="D17" s="44" t="str">
        <f>IF(Francais,
"• Calibration, Manuel Installation &amp; Utilisation Scanner pour " &amp; A30 &amp; IF(OR(A30="WinRHIZO™",A30="WinSEEDLE™")," &amp; vidéo","") &amp; ", Pilote TWAIN et support technique pour l'acquisition d'image.",
"• Calibration, Scanner Installation &amp; Utilisation for " &amp; A30 &amp; " manual" &amp; IF(OR(A30="WinRHIZO™",A30="WinSEEDLE™")," &amp; video","") &amp; ", TWAIN driver and Technical support for image acquisition.")</f>
        <v>• Calibration, Manuel Installation &amp; Utilisation Scanner pour WinCAM™, Pilote TWAIN et support technique pour l'acquisition d'image.</v>
      </c>
      <c r="I17" s="611"/>
    </row>
    <row r="18" spans="1:10" ht="8" customHeight="1" x14ac:dyDescent="0.2">
      <c r="A18" s="921"/>
      <c r="B18" s="608"/>
      <c r="C18" s="923"/>
      <c r="E18" s="130"/>
      <c r="I18" s="611"/>
    </row>
    <row r="19" spans="1:10" ht="0.75" customHeight="1" x14ac:dyDescent="0.2">
      <c r="A19" s="921"/>
      <c r="B19" s="608"/>
      <c r="I19" s="611"/>
    </row>
    <row r="20" spans="1:10" ht="0.75" customHeight="1" x14ac:dyDescent="0.2">
      <c r="A20" s="921"/>
      <c r="B20" s="608"/>
      <c r="I20" s="611"/>
    </row>
    <row r="21" spans="1:10" x14ac:dyDescent="0.2">
      <c r="A21" s="921"/>
      <c r="B21" s="608"/>
      <c r="C21" s="1" t="str">
        <f>IF(Francais,"• Fond Bleu pour Analyse Couleur ","• Blue Background for Color Analysis ") &amp; INDEX(({"STD";"LA";"LC"}),CAM_IndexScanner) &amp; IF(Francais,""," Scanner")</f>
        <v>• Fond Bleu pour Analyse Couleur STD</v>
      </c>
      <c r="D21" s="1" t="str">
        <f>IF(CAM_PosiOrBlueBG_Checkbox,
IF(Francais,"• Fond Bleu pour Analyse Couleur pour scanner " &amp; INDEX(({"STD";"LA";"LC"}),CAM_IndexScanner),"• Blue Background for Color Analysis for " &amp; INDEX(({"STD";"LA";"LC"}),CAM_IndexScanner) &amp; " scanner"),
IF(Francais,"• Fond Bleu non inclus","• No Blue Background included"))</f>
        <v>• Fond Bleu pour Analyse Couleur pour scanner STD</v>
      </c>
      <c r="H21" s="15"/>
      <c r="I21" s="591"/>
    </row>
    <row r="22" spans="1:10" x14ac:dyDescent="0.2">
      <c r="A22" s="921"/>
      <c r="B22" s="608"/>
      <c r="D22" s="131" t="str">
        <f>IF(Francais,"Option (pour LA seulement)","Option (for LA only):")</f>
        <v>Option (pour LA seulement)</v>
      </c>
      <c r="E22" s="44" t="str">
        <f>IF(Francais,"• Lumière spéciale (LS) pour scanner Feuilles, Racines, Graines ou Aiguilles","• Special Light (SL) to scan Leaves differently, Roots, Seeds &amp; Needles")</f>
        <v>• Lumière spéciale (LS) pour scanner Feuilles, Racines, Graines ou Aiguilles</v>
      </c>
      <c r="G22" s="132">
        <f>IF(CAM_ClientWithOrWithoutScanner=1,IF(CAM_IndexScanner=2,PrixTPU,0),0)</f>
        <v>0</v>
      </c>
      <c r="H22" s="15"/>
      <c r="I22" s="591"/>
    </row>
    <row r="23" spans="1:10" ht="18" customHeight="1" x14ac:dyDescent="0.2">
      <c r="B23" s="668"/>
      <c r="C23" s="662" t="str">
        <f>IF(Francais, "Accessoires Optionnels","Optional Accessories")</f>
        <v>Accessoires Optionnels</v>
      </c>
      <c r="D23" s="667"/>
      <c r="E23" s="666"/>
      <c r="F23" s="666"/>
      <c r="G23" s="669" t="str">
        <f>IF(Francais,"Sous-Total Matériel Optionnel Extra : ","Sub-Total Options Extra Hardware : ")</f>
        <v xml:space="preserve">Sous-Total Matériel Optionnel Extra : </v>
      </c>
      <c r="H23" s="163">
        <f>ROUND(0*(CAM_Option1-1)+
G24*(CAM_Option2-1)+
G25*(CAM_Option3-1)+
G26*(CAM_Option4-1),0)</f>
        <v>0</v>
      </c>
      <c r="I23" s="670"/>
    </row>
    <row r="24" spans="1:10" ht="15.75" customHeight="1" x14ac:dyDescent="0.2">
      <c r="A24" s="912" t="str">
        <f xml:space="preserve"> "4) " &amp;
IF(Francais,"Choisir accessoires en extra si désiré. →","Choose extra accessories if you want. →")</f>
        <v>4) Choisir accessoires en extra si désiré. →</v>
      </c>
      <c r="B24" s="601"/>
      <c r="C24" s="340"/>
      <c r="D24" s="1" t="str">
        <f>IF(Francais,"PICK* 12"" x 16"" Incl. 1 Presse-feuille Bleu, 1 Blanc " &amp; "&amp;" &amp; " Cibles d'Étalonnage","12"" x 16"" PICK* Incl. 1 White, Blue Leaf Press " &amp; "&amp;" &amp; " Calibration Targets")</f>
        <v>PICK* 12" x 16" Incl. 1 Presse-feuille Bleu, 1 Blanc &amp; Cibles d'Étalonnage</v>
      </c>
      <c r="E24" s="43"/>
      <c r="G24" s="135">
        <f>Calc!A25</f>
        <v>246</v>
      </c>
      <c r="H24" s="136"/>
      <c r="I24" s="926">
        <v>900691</v>
      </c>
    </row>
    <row r="25" spans="1:10" x14ac:dyDescent="0.2">
      <c r="A25" s="912"/>
      <c r="B25" s="601"/>
      <c r="C25" s="16" t="str">
        <f>IF(Francais,"   (avec l'achat ou la possession de WinCAM uniquement)","   (if you buy or own WinCAM only)")</f>
        <v xml:space="preserve">   (avec l'achat ou la possession de WinCAM uniquement)</v>
      </c>
      <c r="D25" s="1" t="str">
        <f>IF(Francais,"PICK* 18"" x 24"" Incl. 1 Presse-feuille Bleu, 1 Blanc " &amp; "&amp;" &amp; " Cibles d'Étalonnage","18"" x 24"" PICK* Incl. 1 White, Blue Leaf Press " &amp; "&amp;" &amp; " Calibration Targets")</f>
        <v>PICK* 18" x 24" Incl. 1 Presse-feuille Bleu, 1 Blanc &amp; Cibles d'Étalonnage</v>
      </c>
      <c r="E25" s="44"/>
      <c r="G25" s="135">
        <f>Calc!A26</f>
        <v>457</v>
      </c>
      <c r="H25" s="136"/>
      <c r="I25" s="926"/>
      <c r="J25" s="14"/>
    </row>
    <row r="26" spans="1:10" x14ac:dyDescent="0.2">
      <c r="A26" s="912"/>
      <c r="B26" s="601"/>
      <c r="C26" s="16"/>
      <c r="D26" s="1" t="str">
        <f>IF(Francais,"Fond Bleu pour Analyse Couleur","Blue Background for Color Analysis")</f>
        <v>Fond Bleu pour Analyse Couleur</v>
      </c>
      <c r="E26" s="44"/>
      <c r="G26" s="135">
        <f>INDEX((PrixBlBgSTD_LA_LC),,,CAM_IndexScanner)</f>
        <v>28</v>
      </c>
      <c r="H26" s="136"/>
      <c r="I26" s="926"/>
      <c r="J26" s="14"/>
    </row>
    <row r="27" spans="1:10" x14ac:dyDescent="0.2">
      <c r="B27" s="650"/>
      <c r="C27" s="603"/>
      <c r="D27" s="604" t="s">
        <v>15</v>
      </c>
      <c r="E27" s="657"/>
      <c r="F27" s="604"/>
      <c r="G27" s="658"/>
      <c r="H27" s="604"/>
      <c r="I27" s="659"/>
      <c r="J27" s="14"/>
    </row>
    <row r="28" spans="1:10" ht="26.25" customHeight="1" x14ac:dyDescent="0.2">
      <c r="C28" s="45"/>
      <c r="F28" s="702"/>
      <c r="G28" s="703" t="str">
        <f>IF(Francais,"SOUS-TOTAL MATÉRIEL:","HARDWARE SUBTOTAL:")</f>
        <v>SOUS-TOTAL MATÉRIEL:</v>
      </c>
      <c r="H28" s="704">
        <f>IF(ISNUMBER(H14),H14,0)+H23</f>
        <v>0</v>
      </c>
      <c r="I28" s="706"/>
      <c r="J28" s="14"/>
    </row>
    <row r="29" spans="1:10" x14ac:dyDescent="0.2">
      <c r="C29" s="45"/>
      <c r="I29" s="1"/>
      <c r="J29" s="14"/>
    </row>
    <row r="30" spans="1:10" ht="28.25" customHeight="1" x14ac:dyDescent="0.2">
      <c r="A30" s="322" t="s">
        <v>171</v>
      </c>
      <c r="B30" s="315"/>
      <c r="C30" s="316"/>
      <c r="D30" s="316"/>
      <c r="E30" s="707" t="str">
        <f>A30 &amp; IF(Francais, " Logiciel et Matériel"," Software &amp; Hardware")</f>
        <v>WinCAM™ Logiciel et Matériel</v>
      </c>
      <c r="F30" s="582"/>
      <c r="G30" s="583" t="s">
        <v>771</v>
      </c>
      <c r="H30" s="584">
        <f>(H4)+IF(ISNUMBER(H14),H14,0)+H23</f>
        <v>0</v>
      </c>
      <c r="I30" s="574"/>
    </row>
    <row r="31" spans="1:10" ht="19" x14ac:dyDescent="0.2">
      <c r="C31" s="45"/>
      <c r="G31" s="720" t="str">
        <f>IF(Francais,"Valide jusqu'au","Valid until")</f>
        <v>Valide jusqu'au</v>
      </c>
      <c r="H31" s="318" t="s">
        <v>795</v>
      </c>
      <c r="I31" s="1"/>
      <c r="J31" s="14"/>
    </row>
    <row r="32" spans="1:10" x14ac:dyDescent="0.2">
      <c r="A32" s="717"/>
      <c r="B32" s="715"/>
      <c r="C32" s="715"/>
      <c r="D32" s="717"/>
      <c r="E32" s="718" t="str">
        <f>HYPERLINK("mailto:sales@regentinstruments.com",IF(Francais,"Pour des questions ou pour placer une commande, contactez: sales@regentinstruments.com","For questions or to place an order contact: sales@regentinstruments.com"))</f>
        <v>Pour des questions ou pour placer une commande, contactez: sales@regentinstruments.com</v>
      </c>
      <c r="F32" s="715"/>
      <c r="G32" s="715"/>
      <c r="H32" s="715"/>
      <c r="I32" s="715"/>
    </row>
  </sheetData>
  <sheetProtection algorithmName="SHA-512" hashValue="yReDNve9vVTuwv4pkSrspRj1pa/ZfhE41kikpn4wq996kKwoeS0DE7eOepNqBqOxQXB46EN5gZ5GBUMSilSu8Q==" saltValue="G9s6Dp4264Iy5VFZ8f50OQ==" spinCount="100000" sheet="1" objects="1" scenarios="1" selectLockedCells="1"/>
  <mergeCells count="12">
    <mergeCell ref="J1:J7"/>
    <mergeCell ref="J10:J13"/>
    <mergeCell ref="I24:I26"/>
    <mergeCell ref="D16:E16"/>
    <mergeCell ref="F8:I8"/>
    <mergeCell ref="G15:H16"/>
    <mergeCell ref="A24:A26"/>
    <mergeCell ref="D15:E15"/>
    <mergeCell ref="D14:E14"/>
    <mergeCell ref="A14:A22"/>
    <mergeCell ref="A2:A12"/>
    <mergeCell ref="C17:C18"/>
  </mergeCells>
  <conditionalFormatting sqref="G5:G6">
    <cfRule type="expression" dxfId="81" priority="84">
      <formula>IF(N("Si Downgrade prix=0 else Prix")+OR( IF(N("Si on downgrade model")+CAM_IndexModelSoftware&lt;CAM_IndexModelClient,1,0), IF(N("Si on downgrade de 64bits à 32bits")+AND(CAM_IndexClientVersion&gt;CAM_UpgradeNModels,CAM_IndexSoftware&lt;=CAM_UpgradeNModels),1,0) ),1,0)</formula>
    </cfRule>
  </conditionalFormatting>
  <conditionalFormatting sqref="D15:D16 D18:D21">
    <cfRule type="expression" dxfId="80" priority="82">
      <formula>NOT(Checkbox_Descriptions)</formula>
    </cfRule>
  </conditionalFormatting>
  <conditionalFormatting sqref="G22 D22:E22">
    <cfRule type="expression" dxfId="79" priority="80">
      <formula>IF(CAM_IndexScanner=2,0,1)</formula>
    </cfRule>
  </conditionalFormatting>
  <conditionalFormatting sqref="G22 D22:E22">
    <cfRule type="expression" dxfId="78" priority="79">
      <formula>IF(CAM_ClientWithOrWithoutScanner=1,0,1)</formula>
    </cfRule>
  </conditionalFormatting>
  <conditionalFormatting sqref="H11 G4:G6 H28 G14 H23">
    <cfRule type="expression" dxfId="77" priority="85">
      <formula>OR(IndexZone=5)</formula>
    </cfRule>
    <cfRule type="expression" dxfId="76" priority="86">
      <formula>OR(IndexZone=3, IndexZone=8, IndexZone=10)</formula>
    </cfRule>
  </conditionalFormatting>
  <conditionalFormatting sqref="H14">
    <cfRule type="expression" dxfId="75" priority="57">
      <formula>ISTEXT($H$14)</formula>
    </cfRule>
  </conditionalFormatting>
  <conditionalFormatting sqref="C24">
    <cfRule type="expression" dxfId="74" priority="54">
      <formula>NOT(Checkbox_Descriptions)</formula>
    </cfRule>
  </conditionalFormatting>
  <conditionalFormatting sqref="D7:D8">
    <cfRule type="expression" dxfId="73" priority="42">
      <formula>NOT(Checkbox_Descriptions)</formula>
    </cfRule>
  </conditionalFormatting>
  <conditionalFormatting sqref="D17">
    <cfRule type="expression" dxfId="72" priority="22">
      <formula>NOT(Checkbox_Descriptions)</formula>
    </cfRule>
  </conditionalFormatting>
  <conditionalFormatting sqref="B3:D3 F3:I3">
    <cfRule type="expression" dxfId="71" priority="16">
      <formula>NOT(Checkbox_Instructions)</formula>
    </cfRule>
  </conditionalFormatting>
  <conditionalFormatting sqref="J1">
    <cfRule type="expression" dxfId="70" priority="13">
      <formula>NOT(Checkbox_Instructions)</formula>
    </cfRule>
  </conditionalFormatting>
  <conditionalFormatting sqref="H30">
    <cfRule type="expression" dxfId="69" priority="11">
      <formula>OR(IndexZone=5)</formula>
    </cfRule>
    <cfRule type="expression" dxfId="68" priority="12">
      <formula>OR(IndexZone=3, IndexZone=8, IndexZone=10)</formula>
    </cfRule>
  </conditionalFormatting>
  <conditionalFormatting sqref="F5:G6">
    <cfRule type="expression" dxfId="67" priority="10">
      <formula>IF(CAM_ChkBox_UpgradeUpdate,0,1)</formula>
    </cfRule>
  </conditionalFormatting>
  <conditionalFormatting sqref="A14">
    <cfRule type="expression" dxfId="66" priority="4">
      <formula>NOT(Checkbox_Instructions)</formula>
    </cfRule>
  </conditionalFormatting>
  <conditionalFormatting sqref="A24">
    <cfRule type="expression" dxfId="65" priority="3">
      <formula>NOT(Checkbox_Instructions)</formula>
    </cfRule>
  </conditionalFormatting>
  <conditionalFormatting sqref="A2">
    <cfRule type="expression" dxfId="64" priority="1">
      <formula>NOT(Checkbox_Instructions)</formula>
    </cfRule>
  </conditionalFormatting>
  <dataValidations disablePrompts="1" count="1">
    <dataValidation type="custom" allowBlank="1" showInputMessage="1" showErrorMessage="1" sqref="G15:H16 F8" xr:uid="{00000000-0002-0000-0700-000000000000}">
      <formula1>"&lt;0&gt;0"</formula1>
    </dataValidation>
  </dataValidations>
  <pageMargins left="0.7" right="0.7" top="0.75" bottom="0.75" header="0.3" footer="0.3"/>
  <pageSetup scale="53" orientation="landscape"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88065" r:id="rId4" name="Check Box 1">
              <controlPr defaultSize="0" autoFill="0" autoLine="0" autoPict="0">
                <anchor moveWithCells="1" sizeWithCells="1">
                  <from>
                    <xdr:col>5</xdr:col>
                    <xdr:colOff>25400</xdr:colOff>
                    <xdr:row>0</xdr:row>
                    <xdr:rowOff>25400</xdr:rowOff>
                  </from>
                  <to>
                    <xdr:col>5</xdr:col>
                    <xdr:colOff>1092200</xdr:colOff>
                    <xdr:row>0</xdr:row>
                    <xdr:rowOff>228600</xdr:rowOff>
                  </to>
                </anchor>
              </controlPr>
            </control>
          </mc:Choice>
        </mc:AlternateContent>
        <mc:AlternateContent xmlns:mc="http://schemas.openxmlformats.org/markup-compatibility/2006">
          <mc:Choice Requires="x14">
            <control shapeId="88080" r:id="rId5" name="Drop Down 16">
              <controlPr defaultSize="0" autoLine="0" autoPict="0">
                <anchor moveWithCells="1" sizeWithCells="1">
                  <from>
                    <xdr:col>1</xdr:col>
                    <xdr:colOff>0</xdr:colOff>
                    <xdr:row>13</xdr:row>
                    <xdr:rowOff>101600</xdr:rowOff>
                  </from>
                  <to>
                    <xdr:col>2</xdr:col>
                    <xdr:colOff>25400</xdr:colOff>
                    <xdr:row>13</xdr:row>
                    <xdr:rowOff>292100</xdr:rowOff>
                  </to>
                </anchor>
              </controlPr>
            </control>
          </mc:Choice>
        </mc:AlternateContent>
        <mc:AlternateContent xmlns:mc="http://schemas.openxmlformats.org/markup-compatibility/2006">
          <mc:Choice Requires="x14">
            <control shapeId="88085" r:id="rId6" name="Drop Down 21">
              <controlPr defaultSize="0" autoLine="0" autoPict="0">
                <anchor moveWithCells="1" sizeWithCells="1">
                  <from>
                    <xdr:col>5</xdr:col>
                    <xdr:colOff>368300</xdr:colOff>
                    <xdr:row>21</xdr:row>
                    <xdr:rowOff>25400</xdr:rowOff>
                  </from>
                  <to>
                    <xdr:col>5</xdr:col>
                    <xdr:colOff>749300</xdr:colOff>
                    <xdr:row>21</xdr:row>
                    <xdr:rowOff>177800</xdr:rowOff>
                  </to>
                </anchor>
              </controlPr>
            </control>
          </mc:Choice>
        </mc:AlternateContent>
        <mc:AlternateContent xmlns:mc="http://schemas.openxmlformats.org/markup-compatibility/2006">
          <mc:Choice Requires="x14">
            <control shapeId="88087" r:id="rId7" name="Drop Down 23">
              <controlPr defaultSize="0" autoLine="0" autoPict="0">
                <anchor moveWithCells="1" sizeWithCells="1">
                  <from>
                    <xdr:col>5</xdr:col>
                    <xdr:colOff>368300</xdr:colOff>
                    <xdr:row>23</xdr:row>
                    <xdr:rowOff>25400</xdr:rowOff>
                  </from>
                  <to>
                    <xdr:col>5</xdr:col>
                    <xdr:colOff>749300</xdr:colOff>
                    <xdr:row>23</xdr:row>
                    <xdr:rowOff>177800</xdr:rowOff>
                  </to>
                </anchor>
              </controlPr>
            </control>
          </mc:Choice>
        </mc:AlternateContent>
        <mc:AlternateContent xmlns:mc="http://schemas.openxmlformats.org/markup-compatibility/2006">
          <mc:Choice Requires="x14">
            <control shapeId="88089" r:id="rId8" name="Drop Down 25">
              <controlPr defaultSize="0" autoLine="0" autoPict="0">
                <anchor moveWithCells="1" sizeWithCells="1">
                  <from>
                    <xdr:col>9</xdr:col>
                    <xdr:colOff>114300</xdr:colOff>
                    <xdr:row>8</xdr:row>
                    <xdr:rowOff>25400</xdr:rowOff>
                  </from>
                  <to>
                    <xdr:col>9</xdr:col>
                    <xdr:colOff>863600</xdr:colOff>
                    <xdr:row>8</xdr:row>
                    <xdr:rowOff>203200</xdr:rowOff>
                  </to>
                </anchor>
              </controlPr>
            </control>
          </mc:Choice>
        </mc:AlternateContent>
        <mc:AlternateContent xmlns:mc="http://schemas.openxmlformats.org/markup-compatibility/2006">
          <mc:Choice Requires="x14">
            <control shapeId="88088" r:id="rId9" name="Drop Down 24">
              <controlPr defaultSize="0" autoLine="0" autoPict="0">
                <anchor moveWithCells="1" sizeWithCells="1">
                  <from>
                    <xdr:col>5</xdr:col>
                    <xdr:colOff>368300</xdr:colOff>
                    <xdr:row>24</xdr:row>
                    <xdr:rowOff>25400</xdr:rowOff>
                  </from>
                  <to>
                    <xdr:col>5</xdr:col>
                    <xdr:colOff>749300</xdr:colOff>
                    <xdr:row>24</xdr:row>
                    <xdr:rowOff>177800</xdr:rowOff>
                  </to>
                </anchor>
              </controlPr>
            </control>
          </mc:Choice>
        </mc:AlternateContent>
        <mc:AlternateContent xmlns:mc="http://schemas.openxmlformats.org/markup-compatibility/2006">
          <mc:Choice Requires="x14">
            <control shapeId="88090" r:id="rId10" name="Drop Down 26">
              <controlPr defaultSize="0" autoLine="0" autoPict="0">
                <anchor moveWithCells="1" sizeWithCells="1">
                  <from>
                    <xdr:col>5</xdr:col>
                    <xdr:colOff>368300</xdr:colOff>
                    <xdr:row>25</xdr:row>
                    <xdr:rowOff>25400</xdr:rowOff>
                  </from>
                  <to>
                    <xdr:col>5</xdr:col>
                    <xdr:colOff>749300</xdr:colOff>
                    <xdr:row>25</xdr:row>
                    <xdr:rowOff>177800</xdr:rowOff>
                  </to>
                </anchor>
              </controlPr>
            </control>
          </mc:Choice>
        </mc:AlternateContent>
        <mc:AlternateContent xmlns:mc="http://schemas.openxmlformats.org/markup-compatibility/2006">
          <mc:Choice Requires="x14">
            <control shapeId="88091" r:id="rId11" name="ScannerCheckbox">
              <controlPr defaultSize="0" autoFill="0" autoLine="0" autoPict="0">
                <anchor moveWithCells="1" sizeWithCells="1">
                  <from>
                    <xdr:col>1</xdr:col>
                    <xdr:colOff>101600</xdr:colOff>
                    <xdr:row>13</xdr:row>
                    <xdr:rowOff>355600</xdr:rowOff>
                  </from>
                  <to>
                    <xdr:col>2</xdr:col>
                    <xdr:colOff>723900</xdr:colOff>
                    <xdr:row>15</xdr:row>
                    <xdr:rowOff>25400</xdr:rowOff>
                  </to>
                </anchor>
              </controlPr>
            </control>
          </mc:Choice>
        </mc:AlternateContent>
        <mc:AlternateContent xmlns:mc="http://schemas.openxmlformats.org/markup-compatibility/2006">
          <mc:Choice Requires="x14">
            <control shapeId="88093" r:id="rId12" name="DropDown_IndexScanner">
              <controlPr defaultSize="0" autoLine="0" autoPict="0">
                <anchor moveWithCells="1" sizeWithCells="1">
                  <from>
                    <xdr:col>2</xdr:col>
                    <xdr:colOff>736600</xdr:colOff>
                    <xdr:row>14</xdr:row>
                    <xdr:rowOff>0</xdr:rowOff>
                  </from>
                  <to>
                    <xdr:col>2</xdr:col>
                    <xdr:colOff>2006600</xdr:colOff>
                    <xdr:row>15</xdr:row>
                    <xdr:rowOff>25400</xdr:rowOff>
                  </to>
                </anchor>
              </controlPr>
            </control>
          </mc:Choice>
        </mc:AlternateContent>
        <mc:AlternateContent xmlns:mc="http://schemas.openxmlformats.org/markup-compatibility/2006">
          <mc:Choice Requires="x14">
            <control shapeId="88094" r:id="rId13" name="PosiOrBlueBG_Checkbox">
              <controlPr defaultSize="0" autoFill="0" autoLine="0" autoPict="0">
                <anchor moveWithCells="1" sizeWithCells="1">
                  <from>
                    <xdr:col>1</xdr:col>
                    <xdr:colOff>101600</xdr:colOff>
                    <xdr:row>19</xdr:row>
                    <xdr:rowOff>165100</xdr:rowOff>
                  </from>
                  <to>
                    <xdr:col>2</xdr:col>
                    <xdr:colOff>2870200</xdr:colOff>
                    <xdr:row>21</xdr:row>
                    <xdr:rowOff>25400</xdr:rowOff>
                  </to>
                </anchor>
              </controlPr>
            </control>
          </mc:Choice>
        </mc:AlternateContent>
        <mc:AlternateContent xmlns:mc="http://schemas.openxmlformats.org/markup-compatibility/2006">
          <mc:Choice Requires="x14">
            <control shapeId="88076" r:id="rId14" name="Drop Down 12">
              <controlPr defaultSize="0" autoLine="0" autoPict="0">
                <anchor moveWithCells="1">
                  <from>
                    <xdr:col>4</xdr:col>
                    <xdr:colOff>76200</xdr:colOff>
                    <xdr:row>2</xdr:row>
                    <xdr:rowOff>215900</xdr:rowOff>
                  </from>
                  <to>
                    <xdr:col>4</xdr:col>
                    <xdr:colOff>3136900</xdr:colOff>
                    <xdr:row>4</xdr:row>
                    <xdr:rowOff>12700</xdr:rowOff>
                  </to>
                </anchor>
              </controlPr>
            </control>
          </mc:Choice>
        </mc:AlternateContent>
        <mc:AlternateContent xmlns:mc="http://schemas.openxmlformats.org/markup-compatibility/2006">
          <mc:Choice Requires="x14">
            <control shapeId="88100" r:id="rId15" name="DropDown_N_SoftwareOrUpg">
              <controlPr defaultSize="0" autoLine="0" autoPict="0">
                <anchor moveWithCells="1">
                  <from>
                    <xdr:col>1</xdr:col>
                    <xdr:colOff>0</xdr:colOff>
                    <xdr:row>3</xdr:row>
                    <xdr:rowOff>25400</xdr:rowOff>
                  </from>
                  <to>
                    <xdr:col>2</xdr:col>
                    <xdr:colOff>25400</xdr:colOff>
                    <xdr:row>3</xdr:row>
                    <xdr:rowOff>215900</xdr:rowOff>
                  </to>
                </anchor>
              </controlPr>
            </control>
          </mc:Choice>
        </mc:AlternateContent>
        <mc:AlternateContent xmlns:mc="http://schemas.openxmlformats.org/markup-compatibility/2006">
          <mc:Choice Requires="x14">
            <control shapeId="88095" r:id="rId16" name="DropDown_IndexClientVersion">
              <controlPr defaultSize="0" autoLine="0" autoPict="0">
                <anchor moveWithCells="1" sizeWithCells="1">
                  <from>
                    <xdr:col>4</xdr:col>
                    <xdr:colOff>76200</xdr:colOff>
                    <xdr:row>4</xdr:row>
                    <xdr:rowOff>0</xdr:rowOff>
                  </from>
                  <to>
                    <xdr:col>4</xdr:col>
                    <xdr:colOff>1473200</xdr:colOff>
                    <xdr:row>5</xdr:row>
                    <xdr:rowOff>0</xdr:rowOff>
                  </to>
                </anchor>
              </controlPr>
            </control>
          </mc:Choice>
        </mc:AlternateContent>
        <mc:AlternateContent xmlns:mc="http://schemas.openxmlformats.org/markup-compatibility/2006">
          <mc:Choice Requires="x14">
            <control shapeId="88099" r:id="rId17" name="ChkB_UpgradeUpdate">
              <controlPr defaultSize="0" autoFill="0" autoLine="0" autoPict="0">
                <anchor moveWithCells="1" sizeWithCells="1">
                  <from>
                    <xdr:col>2</xdr:col>
                    <xdr:colOff>88900</xdr:colOff>
                    <xdr:row>4</xdr:row>
                    <xdr:rowOff>12700</xdr:rowOff>
                  </from>
                  <to>
                    <xdr:col>2</xdr:col>
                    <xdr:colOff>2984500</xdr:colOff>
                    <xdr:row>4</xdr:row>
                    <xdr:rowOff>215900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rgb="FF00B0F0"/>
    <pageSetUpPr fitToPage="1"/>
  </sheetPr>
  <dimension ref="A1:P33"/>
  <sheetViews>
    <sheetView showGridLines="0" zoomScaleNormal="100" workbookViewId="0">
      <selection activeCell="D5" sqref="D5"/>
    </sheetView>
  </sheetViews>
  <sheetFormatPr baseColWidth="10" defaultColWidth="0" defaultRowHeight="16" zeroHeight="1" x14ac:dyDescent="0.2"/>
  <cols>
    <col min="1" max="1" width="15.1640625" customWidth="1"/>
    <col min="2" max="2" width="5.6640625" style="1" customWidth="1"/>
    <col min="3" max="3" width="39.1640625" style="1" customWidth="1"/>
    <col min="4" max="4" width="11.1640625" style="1" customWidth="1"/>
    <col min="5" max="5" width="52.1640625" style="1" customWidth="1"/>
    <col min="6" max="8" width="14.1640625" style="1" customWidth="1"/>
    <col min="9" max="9" width="14.1640625" customWidth="1"/>
    <col min="10" max="10" width="17.5" customWidth="1"/>
    <col min="11" max="16" width="10.6640625" customWidth="1"/>
    <col min="17" max="16384" width="10.6640625" hidden="1"/>
  </cols>
  <sheetData>
    <row r="1" spans="1:16" ht="21.5" customHeight="1" x14ac:dyDescent="0.2">
      <c r="A1" s="111"/>
      <c r="B1" s="319" t="str">
        <f>$A$31 &amp; IF(Francais," Liste de Prix V. "," Price List V. ") &amp; YearOfList &amp;
IF(Francais, " en devise "," in ") &amp; IF(IndexCurrency=3,"USD",IF(IndexCurrency=2,"Euro","CAD")) &amp; IF(Francais, ""," Currency")</f>
        <v>WinDENDRO™ Liste de Prix V. 2026 en devise USD</v>
      </c>
      <c r="C1" s="320"/>
      <c r="H1" s="15"/>
      <c r="J1" s="911" t="str">
        <f>IF(Francais,
"2) Si vous avez déjà "&amp; SUBSTITUTE(A31,"™","") &amp; ", indiquez combien de licences (pour un rabais)." &amp; CONCATENATE(CHAR(10), REPT(" ",9), "↓"),
"2) If you already own "&amp; SUBSTITUTE(A31,"™","") &amp; ", indicate how many licences (to get a discount)." &amp; CONCATENATE(CHAR(10), REPT(" ", 9), "↓"))</f>
        <v>2) Si vous avez déjà WinDENDRO, indiquez combien de licences (pour un rabais).
         ↓</v>
      </c>
    </row>
    <row r="2" spans="1:16" s="1" customFormat="1" ht="30" customHeight="1" x14ac:dyDescent="0.2">
      <c r="A2" s="922" t="str">
        <f>IF(Francais,
"1) Choisir combien de license(s) et le modèle du logiciel à acheter" &amp; IF(Checkbox_Updates=TRUE," / mettre à jour.","."),
"1) Select how many license(s) and which model to buy" &amp; IF(Checkbox_Updates=TRUE," or update to.",".") )
&amp; " →"&amp; CHAR(10)  &amp; IF(Checkbox_Updates=TRUE,IF(Francais,
"Pour mettre " &amp; "→" &amp; CHAR(10) &amp; "à jour des licenses, cochez la case, entrée l'année et sélectionnez le modèle que vous possédez.",
"To update " &amp; "→" &amp; CHAR(10)  &amp; "license(s), "  &amp; "check this box, enter the year and select the model you own."),
"")</f>
        <v>1) Choisir combien de license(s) et le modèle du logiciel à acheter / mettre à jour. →
Pour mettre →
à jour des licenses, cochez la case, entrée l'année et sélectionnez le modèle que vous possédez.</v>
      </c>
      <c r="B2" s="585"/>
      <c r="C2" s="586" t="str">
        <f>IF(Francais,"Logiciel","Software")</f>
        <v>Logiciel</v>
      </c>
      <c r="D2" s="587"/>
      <c r="E2" s="587"/>
      <c r="F2" s="587"/>
      <c r="G2" s="587"/>
      <c r="H2" s="587"/>
      <c r="I2" s="588"/>
      <c r="J2" s="911"/>
    </row>
    <row r="3" spans="1:16" s="1" customFormat="1" ht="18" customHeight="1" x14ac:dyDescent="0.2">
      <c r="A3" s="922"/>
      <c r="B3" s="601"/>
      <c r="E3" s="590" t="str">
        <f>REPT(" ",15) &amp; IF(Francais,"Modèle","Model")</f>
        <v xml:space="preserve">               Modèle</v>
      </c>
      <c r="G3" s="15" t="str">
        <f>IF(Francais,"Prix Unit. de Liste","Item List Price")</f>
        <v>Prix Unit. de Liste</v>
      </c>
      <c r="H3" s="15" t="str">
        <f>IF(Francais,"Prix de liste","List Price")</f>
        <v>Prix de liste</v>
      </c>
      <c r="I3" s="591" t="str">
        <f>IF(Francais,"Code Harmonisé","Harmonized Code")</f>
        <v>Code Harmonisé</v>
      </c>
      <c r="J3" s="911"/>
    </row>
    <row r="4" spans="1:16" s="11" customFormat="1" ht="18" customHeight="1" x14ac:dyDescent="0.2">
      <c r="A4" s="922"/>
      <c r="B4" s="672"/>
      <c r="C4" s="673" t="str">
        <f>IF(Francais,"License(s) Logiciel " &amp; $A$31,$A$31&amp;" Software License(s)")</f>
        <v>License(s) Logiciel WinDENDRO™</v>
      </c>
      <c r="D4" s="674"/>
      <c r="E4" s="674"/>
      <c r="F4" s="674"/>
      <c r="G4" s="126">
        <f>IF(DENDRO_ChkBox_UpgradeUpdate,IFERROR(H4/(DENDRO_N_UpgradeUpdate-1),0),
IFERROR(H4/(DENDRO_N_Software-1),0))</f>
        <v>0</v>
      </c>
      <c r="H4" s="181">
        <f>IF(DENDRO_ChkBox_UpgradeUpdate,ROUND((G5+G6)*(DENDRO_N_UpgradeUpdate-1),0),
ROUND((INDEX(DENDRO_SoftwarePriceList,DENDRO_IndexSoftware))*
IF(DENDRO_N_Software-1=0,0,SUM(MMULT(
  _xlfn.MUNIT(
   DENDRO_N_Software-1),
    INDEX(TableLists[Column10],DENDRO_N_AlreadyHaveSoftware-1+2):
    INDEX(TableLists[Column10],(DENDRO_N_AlreadyHaveSoftware-1+1)+(DENDRO_N_Software-1))
))),0))</f>
        <v>0</v>
      </c>
      <c r="I4" s="675">
        <v>852349</v>
      </c>
      <c r="J4" s="911"/>
    </row>
    <row r="5" spans="1:16" s="11" customFormat="1" ht="18" customHeight="1" x14ac:dyDescent="0.2">
      <c r="A5" s="922"/>
      <c r="B5" s="600"/>
      <c r="C5" s="708" t="str">
        <f>IF(Francais,"Mise à jour d'une vieille version",
"Update from an older version")</f>
        <v>Mise à jour d'une vieille version</v>
      </c>
      <c r="D5" s="752">
        <v>2019</v>
      </c>
      <c r="E5" s="714" t="str">
        <f>IF(DENDRO_N_UpgradeUpdate&gt;1,
IF(N("Si on downgrade model")+DENDRO_IndexModelSoftware&lt;DENDRO_IndexModelClient,"Downgrading model is not possible",""),"")</f>
        <v/>
      </c>
      <c r="F5" s="128" t="str">
        <f>IF(Francais,"Coût mise à jour","Update cost")</f>
        <v>Coût mise à jour</v>
      </c>
      <c r="G5" s="137">
        <f>IF(N("Si Downgrade prix=0 else Prix")+OR(
IF(N("Si on downgrade model")+DENDRO_IndexModelSoftware&lt;DENDRO_IndexModelClient,1,0),
IF(N("Si no update")+DENDRO_YearMostRecent&lt;=DENDRO_YearClient,1,0)
),0,
N("PrixUpdate:")+(MAX(INDEX(DENDRO_SoftwarePriceList,DENDRO_IndexClientVersion)*(1-(1-UpdateResidualValueAfterAnneesMax))*(MIN(DENDRO_YearMostRecent-DENDRO_YearClient,UpdateNAnnesMax))/UpdateNAnnesMax,UpdateMinPrice)+CteUpdate)*(VARS_PriceRise2026_Updates)
)</f>
        <v>777</v>
      </c>
      <c r="H5" s="712"/>
      <c r="I5" s="709"/>
      <c r="J5" s="911"/>
    </row>
    <row r="6" spans="1:16" s="11" customFormat="1" ht="18" customHeight="1" x14ac:dyDescent="0.2">
      <c r="A6" s="922"/>
      <c r="B6" s="596"/>
      <c r="C6" s="1" t="str">
        <f>IF(DENDRO_ChkBox_UpgradeUpdate, REPT(" ",6) &amp; IF(Francais,
"Si Mise à jour, la licence actuelle devient inutilisable. Votre clé doit être renvoyée pour un échange ou reprogrammée pour la nouvelle version.",
"When updating, you can't use your current license anymore. Your key must be returned for an exchange or reprogrammed for the new version."
),"")</f>
        <v/>
      </c>
      <c r="D6" s="1"/>
      <c r="E6" s="1"/>
      <c r="F6" s="128" t="str">
        <f>IF(Francais,"Coût mise à niveau","Upgrade cost")</f>
        <v>Coût mise à niveau</v>
      </c>
      <c r="G6" s="137">
        <f>IF(N("Si Downgrade prix=0 else Prix")+OR(
IF(N("Si on downgrade model")+DENDRO_IndexModelSoftware&lt;DENDRO_IndexModelClient,1,0)),0,
N("PrixUpgrade :")+(IF(AND((DENDRO_IndexSoftware-DENDRO_IndexClientVersion)&gt;0,DENDRO_IndexSoftware&lt;&gt;DENDRO_IndexClientVersion),INDEX(DENDRO_SoftwarePriceList,DENDRO_IndexSoftware)-INDEX(DENDRO_SoftwarePriceList,DENDRO_IndexClientVersion),0))
)</f>
        <v>0</v>
      </c>
      <c r="H6" s="712"/>
      <c r="I6" s="709"/>
      <c r="J6" s="911"/>
    </row>
    <row r="7" spans="1:16" ht="18" customHeight="1" x14ac:dyDescent="0.2">
      <c r="A7" s="922"/>
      <c r="B7" s="596"/>
      <c r="C7" s="1" t="str">
        <f>"• " &amp; A31 &amp; " " &amp; IF(Francais,
"License Logiciel (32 et 64-bit, pour Windows 8 à 11). Manuesl d'instructions (PDF &amp; Imprimé). Pas d'activation " &amp; "&amp;" &amp;" connexion Internet requise. Licence perpétuelle (valide indéfiniment sans frais supplémentaires).",
"Software license (32 and 64-bit, for Windows 8 to 11). Instructions manuals (PDF &amp; Printed). No activation " &amp; "&amp;" &amp;" Internet connection required. Perpetual license (use it as long as you want without afterward fees)."
)</f>
        <v>• WinDENDRO™ License Logiciel (32 et 64-bit, pour Windows 8 à 11). Manuesl d'instructions (PDF &amp; Imprimé). Pas d'activation &amp; connexion Internet requise. Licence perpétuelle (valide indéfiniment sans frais supplémentaires).</v>
      </c>
      <c r="D7" s="201"/>
      <c r="E7" s="201"/>
      <c r="I7" s="597"/>
      <c r="J7" s="911"/>
    </row>
    <row r="8" spans="1:16" ht="18" customHeight="1" x14ac:dyDescent="0.2">
      <c r="A8" s="922"/>
      <c r="B8" s="596"/>
      <c r="C8" s="1" t="str">
        <f>"• XLSTEM™: " &amp; IF(Francais,"Logiciel pour analyse de tige (requiert MS Excel, non-inclus)","Software for Stem Analysis (requires MS Excel, not included)")</f>
        <v>• XLSTEM™: Logiciel pour analyse de tige (requiert MS Excel, non-inclus)</v>
      </c>
      <c r="D8" s="201"/>
      <c r="E8" s="201"/>
      <c r="F8" s="918" t="str">
        <f>IF(Checkbox_Instructions,HYPERLINK("https://regentinstruments.com/assets/" &amp; LOWER(LEFT($A$31,LEN($A$31)-1)) &amp; "_software.html?utm_source=PriceQuoteXLS",IF(Francais,"Cliquez pour voir les caractéristiques par modèle de logiciel","Click to view features per software model")),"")</f>
        <v>Cliquez pour voir les caractéristiques par modèle de logiciel</v>
      </c>
      <c r="G8" s="918"/>
      <c r="H8" s="918"/>
      <c r="I8" s="919"/>
      <c r="J8" s="143" t="str">
        <f>IF(Francais,"  Je possède", "  I own")</f>
        <v xml:space="preserve">  Je possède</v>
      </c>
    </row>
    <row r="9" spans="1:16" ht="18" customHeight="1" x14ac:dyDescent="0.2">
      <c r="A9" s="922"/>
      <c r="B9" s="598"/>
      <c r="C9" s="1" t="str">
        <f>IF(Francais,
"• Clé de protection USB (dispositif de contrôle du logiciel). Le logiciel peut être installé sur plusieurs ordinateurs du titulaire de la licence, "&amp;"mais seul celui où la clé est connectée fonctionnera (facile de déplacer la clé d'ordinateur).",
"• USB drive &amp; key (software controlling device). Software can be installed on more than one licensee's computers, but only the one which has the key connected to it can run at a time (easy to move the key from one computer to another)."
)</f>
        <v>• Clé de protection USB (dispositif de contrôle du logiciel). Le logiciel peut être installé sur plusieurs ordinateurs du titulaire de la licence, mais seul celui où la clé est connectée fonctionnera (facile de déplacer la clé d'ordinateur).</v>
      </c>
      <c r="D9" s="7"/>
      <c r="E9" s="7"/>
      <c r="I9" s="597"/>
      <c r="K9" s="332"/>
      <c r="L9" s="332"/>
      <c r="M9" s="332"/>
      <c r="N9" s="332"/>
      <c r="O9" s="332"/>
      <c r="P9" s="332"/>
    </row>
    <row r="10" spans="1:16" ht="7.5" customHeight="1" x14ac:dyDescent="0.2">
      <c r="A10" s="922"/>
      <c r="B10" s="602"/>
      <c r="C10" s="603"/>
      <c r="D10" s="604"/>
      <c r="E10" s="604"/>
      <c r="F10" s="651"/>
      <c r="G10" s="677"/>
      <c r="H10" s="604"/>
      <c r="I10" s="678"/>
      <c r="J10" s="924" t="str">
        <f>IF(Francais,"License(s) Logiciel " &amp; A31,A31&amp;" Software License(s)")</f>
        <v>License(s) Logiciel WinDENDRO™</v>
      </c>
    </row>
    <row r="11" spans="1:16" ht="25.5" customHeight="1" x14ac:dyDescent="0.2">
      <c r="A11" s="922"/>
      <c r="B11" s="671"/>
      <c r="F11" s="702"/>
      <c r="G11" s="703" t="str">
        <f>IF(Francais,"SOUS-TOTAL LOGICIEL:","SOFTWARE SUBTOTAL:")</f>
        <v>SOUS-TOTAL LOGICIEL:</v>
      </c>
      <c r="H11" s="704">
        <f>H4</f>
        <v>0</v>
      </c>
      <c r="I11" s="705"/>
      <c r="J11" s="924"/>
    </row>
    <row r="12" spans="1:16" ht="10" customHeight="1" x14ac:dyDescent="0.2">
      <c r="A12" s="922"/>
      <c r="B12"/>
      <c r="G12" s="15"/>
      <c r="H12" s="15"/>
      <c r="I12" s="15"/>
      <c r="J12" s="924"/>
    </row>
    <row r="13" spans="1:16" ht="30" customHeight="1" x14ac:dyDescent="0.2">
      <c r="A13" s="716"/>
      <c r="B13" s="585"/>
      <c r="C13" s="586" t="str">
        <f>IF(Francais,"Matériel","Hardware")</f>
        <v>Matériel</v>
      </c>
      <c r="D13" s="606"/>
      <c r="E13" s="606"/>
      <c r="F13" s="587"/>
      <c r="G13" s="587"/>
      <c r="H13" s="587"/>
      <c r="I13" s="588"/>
      <c r="J13" s="924"/>
    </row>
    <row r="14" spans="1:16" s="11" customFormat="1" ht="30.75" customHeight="1" x14ac:dyDescent="0.2">
      <c r="A14" s="921" t="str">
        <f>"3) " &amp;
IF(Francais,"Choisir 1 ou + → pour un système avec ou sans scanner et choisir le modèle. ""Sans"" est lorque vous en avez déjà un ou devez l'acheter localement.","Select 1 or + → to get a system with or without a scanner and choose the model. ""Without"" is when you already have it or buy it locally.")</f>
        <v>3) Choisir 1 ou + → pour un système avec ou sans scanner et choisir le modèle. "Sans" est lorque vous en avez déjà un ou devez l'acheter localement.</v>
      </c>
      <c r="B14" s="676"/>
      <c r="C14" s="673" t="str">
        <f>IF(Francais,"Système(s) " &amp; $A$31, $A$31 &amp; " System(s)")</f>
        <v>Système(s) WinDENDRO™</v>
      </c>
      <c r="D14" s="929" t="str">
        <f>IF(Francais,
"Incluant:",
"Including:")</f>
        <v>Incluant:</v>
      </c>
      <c r="E14" s="929"/>
      <c r="F14" s="674"/>
      <c r="G14" s="129">
        <f>IFERROR(H14/(DENDRO_N_System-1),0)</f>
        <v>0</v>
      </c>
      <c r="H14" s="183">
        <f>IF(AND(DENDRO_N_Software=1,DENDRO_N_UpgradeUpdate=1,NOT(SuperUser),DENDRO_N_System&gt;1),IF(Francais,"vendu avec logiciel uniquement","sold with software only"),
ROUND(IF(DENDRO_ClientWithOrWithoutScanner=1,
   IF(DENDRO_IndexScanner=1,PrixSTD,PrixLA),
     IF(DENDRO_IndexScanner=1,STD_GenCalib_Drivers_Instr_Techsup,LA_GenCalib_Drivers_Instr_Techsup)
)*(DENDRO_N_System-1)+G21*(DENDRO_OptionTPU-1),0))</f>
        <v>0</v>
      </c>
      <c r="I14" s="675">
        <v>903149</v>
      </c>
      <c r="J14" s="631"/>
    </row>
    <row r="15" spans="1:16" ht="15.75" customHeight="1" x14ac:dyDescent="0.2">
      <c r="A15" s="921"/>
      <c r="B15" s="608"/>
      <c r="C15" s="309" t="str">
        <f>"• Scanner"</f>
        <v>• Scanner</v>
      </c>
      <c r="D15" s="917" t="str">
        <f>IF(DENDRO_ClientWithOrWithoutScanner=1,
IF(Francais,
"• Documentation, logiciels et accessoires du manufacturier",
"• Manufacturer documentation, software and accessories"),
IF(Francais,"• Scanner non inclus","• No scanner included"))</f>
        <v>• Scanner non inclus</v>
      </c>
      <c r="E15" s="917"/>
      <c r="G15" s="915" t="str">
        <f>IF(Checkbox_Instructions,HYPERLINK("https://regentinstruments.com/assets/ourscanners.html?utm_source=PriceQuoteXLS",IF(Francais,"Cliquez pour voir les spécifications de nos scanners","Click to view our scanners specifications")),"")</f>
        <v>Cliquez pour voir les spécifications de nos scanners</v>
      </c>
      <c r="H15" s="915"/>
      <c r="I15" s="609"/>
      <c r="J15" s="631"/>
    </row>
    <row r="16" spans="1:16" ht="15.75" customHeight="1" x14ac:dyDescent="0.2">
      <c r="A16" s="921"/>
      <c r="B16" s="608"/>
      <c r="C16" s="310" t="str">
        <f>IF(Francais,"   (seulement vendu avec logiciel)","   (sold with software only)")</f>
        <v xml:space="preserve">   (seulement vendu avec logiciel)</v>
      </c>
      <c r="D16" s="917"/>
      <c r="E16" s="917"/>
      <c r="G16" s="915"/>
      <c r="H16" s="915"/>
      <c r="I16" s="597"/>
      <c r="J16" s="631"/>
    </row>
    <row r="17" spans="1:10" ht="15.75" customHeight="1" x14ac:dyDescent="0.2">
      <c r="A17" s="921"/>
      <c r="B17" s="608"/>
      <c r="C17" s="923" t="str">
        <f>IF(AND(DENDRO_IndexScanner=2,DENDRO_ClientWithOrWithoutScanner_ChkBox),
IF(Francais,"Restrictions d'exportation applicables: le Scanner LA peut ne pas être expédiable dans votre pays","Export Restrictions Apply: The LA Scanner cannot be sold worldwide, it might not ship to your country"),
"")</f>
        <v/>
      </c>
      <c r="D17" s="44" t="str">
        <f>IF(Francais,
"• Calibration, Manuel Installation &amp; Utilisation Scanner pour " &amp; A31 &amp; IF(OR(A31="WinRHIZO™",A31="WinSEEDLE™")," &amp; vidéo","") &amp; ", Pilote TWAIN et support technique pour l'acquisition d'image de Cernes.",
"• Calibration, Scanner Installation &amp; Utilisation for " &amp; A31 &amp; " manual" &amp; IF(OR(A31="WinRHIZO™",A31="WinSEEDLE™")," &amp; video","") &amp; ", TWAIN driver and Technical support for Rings image acquisition.")</f>
        <v>• Calibration, Manuel Installation &amp; Utilisation Scanner pour WinDENDRO™, Pilote TWAIN et support technique pour l'acquisition d'image de Cernes.</v>
      </c>
      <c r="E17" s="130"/>
      <c r="F17" s="130"/>
      <c r="I17" s="679"/>
    </row>
    <row r="18" spans="1:10" ht="8" customHeight="1" x14ac:dyDescent="0.2">
      <c r="A18" s="921"/>
      <c r="B18" s="608"/>
      <c r="C18" s="923"/>
      <c r="I18" s="679"/>
    </row>
    <row r="19" spans="1:10" ht="0.75" customHeight="1" x14ac:dyDescent="0.2">
      <c r="A19" s="921"/>
      <c r="B19" s="608"/>
      <c r="C19" s="16"/>
      <c r="H19" s="680"/>
      <c r="I19" s="679"/>
    </row>
    <row r="20" spans="1:10" ht="0.75" customHeight="1" x14ac:dyDescent="0.2">
      <c r="A20" s="921"/>
      <c r="B20" s="608"/>
      <c r="H20" s="680"/>
      <c r="I20" s="679"/>
    </row>
    <row r="21" spans="1:10" ht="15.75" customHeight="1" x14ac:dyDescent="0.2">
      <c r="A21" s="921"/>
      <c r="B21" s="608"/>
      <c r="D21" s="131" t="str">
        <f>IF(Francais,"Option (pour LA seulement)","Option (for LA only):")</f>
        <v>Option (pour LA seulement)</v>
      </c>
      <c r="E21" s="44" t="str">
        <f>IF(Francais,"• Lumière spéciale (LS) pour scanner Films RayonX, Racines, Graines ou Aiguilles","• Special Light (SL) for Xray Films, Roots, Seeds and Needles scanning")</f>
        <v>• Lumière spéciale (LS) pour scanner Films RayonX, Racines, Graines ou Aiguilles</v>
      </c>
      <c r="G21" s="132">
        <f>IF(DENDRO_ClientWithOrWithoutScanner=1,IF(DENDRO_IndexScanner=2,PrixTPU,0),0)</f>
        <v>0</v>
      </c>
      <c r="H21" s="680"/>
      <c r="I21" s="679"/>
      <c r="J21" s="14"/>
    </row>
    <row r="22" spans="1:10" ht="18" customHeight="1" x14ac:dyDescent="0.2">
      <c r="A22" s="921"/>
      <c r="B22" s="681"/>
      <c r="C22" s="673" t="str">
        <f>IF(Francais, "Accessoires Optionnels","Optional Accessories")</f>
        <v>Accessoires Optionnels</v>
      </c>
      <c r="D22" s="133"/>
      <c r="E22" s="674"/>
      <c r="F22" s="674"/>
      <c r="G22" s="682" t="str">
        <f>IF(Francais,"Sous-Total Accessoires : ","Sub-Total Accessories : ")</f>
        <v xml:space="preserve">Sous-Total Accessoires : </v>
      </c>
      <c r="H22" s="134">
        <f>ROUND(G23*(DENDRO_Option1-1)+
G24*(DENDRO_Option2-1)+
G25*(DENDRO_Option3-1)+
G26*(DENDRO_Option4-1),0)</f>
        <v>0</v>
      </c>
      <c r="I22" s="675">
        <v>847330</v>
      </c>
    </row>
    <row r="23" spans="1:10" ht="15.75" customHeight="1" x14ac:dyDescent="0.2">
      <c r="B23" s="601"/>
      <c r="C23" s="7"/>
      <c r="D23" s="1" t="str">
        <f>IF(Francais,"Étalon de réflectance bleue","Blue Reflectance Target")</f>
        <v>Étalon de réflectance bleue</v>
      </c>
      <c r="G23" s="135">
        <f>IF(OR(DENDRO_IndexSoftware=3,DENDRO_IndexSoftware=6),PrixTarget,0)</f>
        <v>0</v>
      </c>
      <c r="H23" s="136"/>
      <c r="I23" s="611"/>
      <c r="J23" s="14"/>
    </row>
    <row r="24" spans="1:10" ht="15.75" customHeight="1" x14ac:dyDescent="0.2">
      <c r="A24" s="912" t="str">
        <f xml:space="preserve"> "4) " &amp;
IF(Francais,"Choisir accessoires en extra si désiré. →","Choose extra accessories if you want. →")</f>
        <v>4) Choisir accessoires en extra si désiré. →</v>
      </c>
      <c r="B24" s="601"/>
      <c r="C24" s="340"/>
      <c r="D24" s="1" t="str">
        <f>IF(Francais,"Support pour carottes 22 cm (pour scanners STD &amp; LA)","22 cm Core Holder (for STD &amp; LA scanners)")</f>
        <v>Support pour carottes 22 cm (pour scanners STD &amp; LA)</v>
      </c>
      <c r="F24" s="2"/>
      <c r="G24" s="135">
        <f>PrixCoreHolder22</f>
        <v>174</v>
      </c>
      <c r="H24" s="136"/>
      <c r="I24" s="611"/>
    </row>
    <row r="25" spans="1:10" ht="15.75" customHeight="1" x14ac:dyDescent="0.2">
      <c r="A25" s="912"/>
      <c r="B25" s="601"/>
      <c r="C25" s="16" t="str">
        <f>IF(Francais,"   (avec l'achat ou la possession de WinDENDRO uniquement)","   (if you buy or own WinDENDRO only)")</f>
        <v xml:space="preserve">   (avec l'achat ou la possession de WinDENDRO uniquement)</v>
      </c>
      <c r="D25" s="1" t="str">
        <f>IF(Francais,"Support pour carottes 36 cm (pour scanners LA seulement)","36 cm Core Holder (for LA scanner only)")</f>
        <v>Support pour carottes 36 cm (pour scanners LA seulement)</v>
      </c>
      <c r="G25" s="135">
        <f>IF(DENDRO_IndexScanner=1,0,PrixCoreHolder36)</f>
        <v>0</v>
      </c>
      <c r="H25" s="136"/>
      <c r="I25" s="611"/>
      <c r="J25" s="14"/>
    </row>
    <row r="26" spans="1:10" ht="15.75" customHeight="1" x14ac:dyDescent="0.2">
      <c r="A26" s="912"/>
      <c r="B26" s="601"/>
      <c r="C26" s="7"/>
      <c r="D26" s="1" t="str">
        <f>IF(Francais,"Positionneur de carotte (pour scanner LA seulement)","Core Positioner (for LA scanner only)")</f>
        <v>Positionneur de carotte (pour scanner LA seulement)</v>
      </c>
      <c r="F26" s="142"/>
      <c r="G26" s="138">
        <f>IF(DENDRO_IndexScanner=1,0,PrixCorePosiLA)</f>
        <v>0</v>
      </c>
      <c r="H26" s="139"/>
      <c r="I26" s="611"/>
      <c r="J26" s="14"/>
    </row>
    <row r="27" spans="1:10" ht="15.75" customHeight="1" x14ac:dyDescent="0.2">
      <c r="B27" s="601"/>
      <c r="C27" s="7"/>
      <c r="D27" s="1" t="str">
        <f>IF(Francais,"Positionneur de carotte (pour scanner STD seulement)","Core Positioner (for STD scanner only)")</f>
        <v>Positionneur de carotte (pour scanner STD seulement)</v>
      </c>
      <c r="F27" s="204"/>
      <c r="G27" s="288">
        <f>IF(DENDRO_IndexScanner=2,0,PrixCorePosiSTD)</f>
        <v>40</v>
      </c>
      <c r="H27" s="289"/>
      <c r="I27" s="685"/>
    </row>
    <row r="28" spans="1:10" ht="15.75" customHeight="1" x14ac:dyDescent="0.2">
      <c r="B28" s="650"/>
      <c r="C28" s="683"/>
      <c r="D28" s="684"/>
      <c r="E28" s="604"/>
      <c r="F28" s="604"/>
      <c r="G28" s="604"/>
      <c r="H28" s="604"/>
      <c r="I28" s="659"/>
    </row>
    <row r="29" spans="1:10" ht="26.25" customHeight="1" x14ac:dyDescent="0.2">
      <c r="C29" s="42"/>
      <c r="D29" s="2"/>
      <c r="F29" s="702"/>
      <c r="G29" s="703" t="str">
        <f>IF(Francais,"SOUS-TOTAL MATÉRIEL:","HARDWARE SUBTOTAL:")</f>
        <v>SOUS-TOTAL MATÉRIEL:</v>
      </c>
      <c r="H29" s="704">
        <f>IF(ISNUMBER(H14),H14,0)+H22</f>
        <v>0</v>
      </c>
      <c r="I29" s="706"/>
    </row>
    <row r="30" spans="1:10" ht="15.75" customHeight="1" x14ac:dyDescent="0.2">
      <c r="C30" s="42"/>
      <c r="D30" s="2"/>
      <c r="I30" s="1"/>
    </row>
    <row r="31" spans="1:10" ht="28.25" customHeight="1" x14ac:dyDescent="0.2">
      <c r="A31" s="322" t="s">
        <v>172</v>
      </c>
      <c r="B31" s="315"/>
      <c r="C31" s="316"/>
      <c r="D31" s="316"/>
      <c r="E31" s="707" t="str">
        <f>A31 &amp; IF(Francais, " Logiciel et Matériel"," Software &amp; Hardware")</f>
        <v>WinDENDRO™ Logiciel et Matériel</v>
      </c>
      <c r="F31" s="582"/>
      <c r="G31" s="583" t="s">
        <v>18</v>
      </c>
      <c r="H31" s="584">
        <f>(H4)+IF(ISNUMBER(H14),H14,0)+H22</f>
        <v>0</v>
      </c>
      <c r="I31" s="574"/>
    </row>
    <row r="32" spans="1:10" ht="18.75" customHeight="1" x14ac:dyDescent="0.2">
      <c r="C32" s="42"/>
      <c r="D32" s="2"/>
      <c r="G32" s="720" t="str">
        <f>IF(Francais,"Valide jusqu'au","Valid until")</f>
        <v>Valide jusqu'au</v>
      </c>
      <c r="H32" s="318" t="s">
        <v>795</v>
      </c>
      <c r="I32" s="1"/>
    </row>
    <row r="33" spans="1:9" ht="15.75" customHeight="1" x14ac:dyDescent="0.2">
      <c r="A33" s="717"/>
      <c r="B33" s="715"/>
      <c r="C33" s="715"/>
      <c r="D33" s="717"/>
      <c r="E33" s="718" t="str">
        <f>HYPERLINK("mailto:sales@regentinstruments.com",IF(Francais,"Pour des questions ou pour placer une commande, contactez: sales@regentinstruments.com","For questions or to place an order contact: sales@regentinstruments.com"))</f>
        <v>Pour des questions ou pour placer une commande, contactez: sales@regentinstruments.com</v>
      </c>
      <c r="F33" s="715"/>
      <c r="G33" s="715"/>
      <c r="H33" s="715"/>
      <c r="I33" s="715"/>
    </row>
  </sheetData>
  <sheetProtection algorithmName="SHA-512" hashValue="g9g7Dv6m/BGKlLQIEnMUq6yX1GNO4Rm1IL/XmEDXQMFdsPOSdAv9I1G3hOCEKn0tUaH5SQRDrVAg7SwxsUXZ0A==" saltValue="Kvwi6/IJwQji89JIJAu2LA==" spinCount="100000" sheet="1" objects="1" scenarios="1" selectLockedCells="1"/>
  <mergeCells count="10">
    <mergeCell ref="J1:J7"/>
    <mergeCell ref="J10:J13"/>
    <mergeCell ref="A24:A26"/>
    <mergeCell ref="F8:I8"/>
    <mergeCell ref="D15:E16"/>
    <mergeCell ref="G15:H16"/>
    <mergeCell ref="D14:E14"/>
    <mergeCell ref="A14:A22"/>
    <mergeCell ref="A2:A12"/>
    <mergeCell ref="C17:C18"/>
  </mergeCells>
  <conditionalFormatting sqref="D21:E21 G21 G25:G26 D25:D26">
    <cfRule type="expression" dxfId="63" priority="118">
      <formula>IF(DENDRO_IndexScanner=1,1,0)</formula>
    </cfRule>
  </conditionalFormatting>
  <conditionalFormatting sqref="D23 G23">
    <cfRule type="expression" dxfId="62" priority="113">
      <formula>IF(OR(DENDRO_IndexSoftware=3,DENDRO_IndexSoftware=6),0,1)</formula>
    </cfRule>
  </conditionalFormatting>
  <conditionalFormatting sqref="G10 G5:G6">
    <cfRule type="expression" dxfId="61" priority="102">
      <formula>IF(N("Si Downgrade prix=0 else Prix")+OR( IF(N("Si on downgrade model")+DENDRO_IndexModelSoftware&lt;DENDRO_IndexModelClient,1,0), IF(N("Si on downgrade de 64bits à 32bits")+AND(DENDRO_IndexClientVersion&gt;DENDRO_UpgradeNModels,DENDRO_IndexSoftware&lt;=DENDRO_UpgradeNModels),1,0) ),1,0)</formula>
    </cfRule>
  </conditionalFormatting>
  <conditionalFormatting sqref="D21:E21 G21">
    <cfRule type="expression" dxfId="60" priority="96">
      <formula>IF(DENDRO_ClientWithOrWithoutScanner=1,0,1)</formula>
    </cfRule>
  </conditionalFormatting>
  <conditionalFormatting sqref="C23 D15:D16 D18:D20">
    <cfRule type="expression" dxfId="59" priority="69">
      <formula>NOT(Checkbox_Descriptions)</formula>
    </cfRule>
  </conditionalFormatting>
  <conditionalFormatting sqref="H11 G4:G6 G14 H29 H22">
    <cfRule type="expression" dxfId="58" priority="50">
      <formula>OR(IndexZone=5)</formula>
    </cfRule>
    <cfRule type="expression" dxfId="57" priority="51">
      <formula>OR(IndexZone=3, IndexZone=8, IndexZone=10)</formula>
    </cfRule>
  </conditionalFormatting>
  <conditionalFormatting sqref="D27 G27">
    <cfRule type="expression" dxfId="56" priority="49">
      <formula>IF(DENDRO_IndexScanner=2,1,0)</formula>
    </cfRule>
  </conditionalFormatting>
  <conditionalFormatting sqref="H14">
    <cfRule type="expression" dxfId="55" priority="47">
      <formula>ISTEXT($H$14)</formula>
    </cfRule>
  </conditionalFormatting>
  <conditionalFormatting sqref="C24">
    <cfRule type="expression" dxfId="54" priority="43">
      <formula>NOT(Checkbox_Descriptions)</formula>
    </cfRule>
  </conditionalFormatting>
  <conditionalFormatting sqref="D7:D8">
    <cfRule type="expression" dxfId="53" priority="31">
      <formula>NOT(Checkbox_Descriptions)</formula>
    </cfRule>
  </conditionalFormatting>
  <conditionalFormatting sqref="D17">
    <cfRule type="expression" dxfId="52" priority="21">
      <formula>NOT(Checkbox_Descriptions)</formula>
    </cfRule>
  </conditionalFormatting>
  <conditionalFormatting sqref="J1">
    <cfRule type="expression" dxfId="51" priority="13">
      <formula>NOT(Checkbox_Instructions)</formula>
    </cfRule>
  </conditionalFormatting>
  <conditionalFormatting sqref="H31">
    <cfRule type="expression" dxfId="50" priority="11">
      <formula>OR(IndexZone=5)</formula>
    </cfRule>
    <cfRule type="expression" dxfId="49" priority="12">
      <formula>OR(IndexZone=3, IndexZone=8, IndexZone=10)</formula>
    </cfRule>
  </conditionalFormatting>
  <conditionalFormatting sqref="F5:G6">
    <cfRule type="expression" dxfId="48" priority="10">
      <formula>IF(DENDRO_ChkBox_UpgradeUpdate,0,1)</formula>
    </cfRule>
  </conditionalFormatting>
  <conditionalFormatting sqref="A14">
    <cfRule type="expression" dxfId="47" priority="4">
      <formula>NOT(Checkbox_Instructions)</formula>
    </cfRule>
  </conditionalFormatting>
  <conditionalFormatting sqref="A24">
    <cfRule type="expression" dxfId="46" priority="3">
      <formula>NOT(Checkbox_Instructions)</formula>
    </cfRule>
  </conditionalFormatting>
  <conditionalFormatting sqref="A2">
    <cfRule type="expression" dxfId="45" priority="1">
      <formula>NOT(Checkbox_Instructions)</formula>
    </cfRule>
  </conditionalFormatting>
  <dataValidations disablePrompts="1" count="1">
    <dataValidation type="custom" allowBlank="1" showErrorMessage="1" sqref="G15:H16 F8" xr:uid="{00000000-0002-0000-0800-000000000000}">
      <formula1>"&lt;0&gt;0"</formula1>
    </dataValidation>
  </dataValidations>
  <pageMargins left="0.5" right="0.5" top="0.5" bottom="0.5" header="0" footer="0"/>
  <pageSetup scale="55" fitToHeight="2" orientation="landscape"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140" r:id="rId4" name="Drop Down 116">
              <controlPr defaultSize="0" autoLine="0" autoPict="0">
                <anchor moveWithCells="1" sizeWithCells="1">
                  <from>
                    <xdr:col>1</xdr:col>
                    <xdr:colOff>0</xdr:colOff>
                    <xdr:row>13</xdr:row>
                    <xdr:rowOff>101600</xdr:rowOff>
                  </from>
                  <to>
                    <xdr:col>2</xdr:col>
                    <xdr:colOff>25400</xdr:colOff>
                    <xdr:row>13</xdr:row>
                    <xdr:rowOff>292100</xdr:rowOff>
                  </to>
                </anchor>
              </controlPr>
            </control>
          </mc:Choice>
        </mc:AlternateContent>
        <mc:AlternateContent xmlns:mc="http://schemas.openxmlformats.org/markup-compatibility/2006">
          <mc:Choice Requires="x14">
            <control shapeId="1141" r:id="rId5" name="DropDown_IndexClientVersion">
              <controlPr defaultSize="0" autoLine="0" autoPict="0">
                <anchor moveWithCells="1" sizeWithCells="1">
                  <from>
                    <xdr:col>4</xdr:col>
                    <xdr:colOff>76200</xdr:colOff>
                    <xdr:row>4</xdr:row>
                    <xdr:rowOff>0</xdr:rowOff>
                  </from>
                  <to>
                    <xdr:col>4</xdr:col>
                    <xdr:colOff>1473200</xdr:colOff>
                    <xdr:row>5</xdr:row>
                    <xdr:rowOff>0</xdr:rowOff>
                  </to>
                </anchor>
              </controlPr>
            </control>
          </mc:Choice>
        </mc:AlternateContent>
        <mc:AlternateContent xmlns:mc="http://schemas.openxmlformats.org/markup-compatibility/2006">
          <mc:Choice Requires="x14">
            <control shapeId="1144" r:id="rId6" name="CheckBoxDetails">
              <controlPr defaultSize="0" autoFill="0" autoLine="0" autoPict="0">
                <anchor moveWithCells="1" sizeWithCells="1">
                  <from>
                    <xdr:col>5</xdr:col>
                    <xdr:colOff>25400</xdr:colOff>
                    <xdr:row>0</xdr:row>
                    <xdr:rowOff>25400</xdr:rowOff>
                  </from>
                  <to>
                    <xdr:col>5</xdr:col>
                    <xdr:colOff>1092200</xdr:colOff>
                    <xdr:row>0</xdr:row>
                    <xdr:rowOff>228600</xdr:rowOff>
                  </to>
                </anchor>
              </controlPr>
            </control>
          </mc:Choice>
        </mc:AlternateContent>
        <mc:AlternateContent xmlns:mc="http://schemas.openxmlformats.org/markup-compatibility/2006">
          <mc:Choice Requires="x14">
            <control shapeId="1151" r:id="rId7" name="Drop Down 127">
              <controlPr defaultSize="0" autoLine="0" autoPict="0">
                <anchor moveWithCells="1" sizeWithCells="1">
                  <from>
                    <xdr:col>5</xdr:col>
                    <xdr:colOff>368300</xdr:colOff>
                    <xdr:row>20</xdr:row>
                    <xdr:rowOff>25400</xdr:rowOff>
                  </from>
                  <to>
                    <xdr:col>5</xdr:col>
                    <xdr:colOff>749300</xdr:colOff>
                    <xdr:row>20</xdr:row>
                    <xdr:rowOff>177800</xdr:rowOff>
                  </to>
                </anchor>
              </controlPr>
            </control>
          </mc:Choice>
        </mc:AlternateContent>
        <mc:AlternateContent xmlns:mc="http://schemas.openxmlformats.org/markup-compatibility/2006">
          <mc:Choice Requires="x14">
            <control shapeId="1153" r:id="rId8" name="Drop Down 129">
              <controlPr defaultSize="0" autoLine="0" autoPict="0">
                <anchor moveWithCells="1" sizeWithCells="1">
                  <from>
                    <xdr:col>5</xdr:col>
                    <xdr:colOff>368300</xdr:colOff>
                    <xdr:row>22</xdr:row>
                    <xdr:rowOff>25400</xdr:rowOff>
                  </from>
                  <to>
                    <xdr:col>5</xdr:col>
                    <xdr:colOff>749300</xdr:colOff>
                    <xdr:row>22</xdr:row>
                    <xdr:rowOff>177800</xdr:rowOff>
                  </to>
                </anchor>
              </controlPr>
            </control>
          </mc:Choice>
        </mc:AlternateContent>
        <mc:AlternateContent xmlns:mc="http://schemas.openxmlformats.org/markup-compatibility/2006">
          <mc:Choice Requires="x14">
            <control shapeId="1154" r:id="rId9" name="Drop Down 130">
              <controlPr defaultSize="0" autoLine="0" autoPict="0">
                <anchor moveWithCells="1" sizeWithCells="1">
                  <from>
                    <xdr:col>5</xdr:col>
                    <xdr:colOff>368300</xdr:colOff>
                    <xdr:row>23</xdr:row>
                    <xdr:rowOff>25400</xdr:rowOff>
                  </from>
                  <to>
                    <xdr:col>5</xdr:col>
                    <xdr:colOff>749300</xdr:colOff>
                    <xdr:row>23</xdr:row>
                    <xdr:rowOff>177800</xdr:rowOff>
                  </to>
                </anchor>
              </controlPr>
            </control>
          </mc:Choice>
        </mc:AlternateContent>
        <mc:AlternateContent xmlns:mc="http://schemas.openxmlformats.org/markup-compatibility/2006">
          <mc:Choice Requires="x14">
            <control shapeId="1155" r:id="rId10" name="Drop Down 131">
              <controlPr defaultSize="0" autoLine="0" autoPict="0">
                <anchor moveWithCells="1" sizeWithCells="1">
                  <from>
                    <xdr:col>5</xdr:col>
                    <xdr:colOff>368300</xdr:colOff>
                    <xdr:row>24</xdr:row>
                    <xdr:rowOff>25400</xdr:rowOff>
                  </from>
                  <to>
                    <xdr:col>5</xdr:col>
                    <xdr:colOff>749300</xdr:colOff>
                    <xdr:row>24</xdr:row>
                    <xdr:rowOff>177800</xdr:rowOff>
                  </to>
                </anchor>
              </controlPr>
            </control>
          </mc:Choice>
        </mc:AlternateContent>
        <mc:AlternateContent xmlns:mc="http://schemas.openxmlformats.org/markup-compatibility/2006">
          <mc:Choice Requires="x14">
            <control shapeId="1156" r:id="rId11" name="Drop Down 132">
              <controlPr defaultSize="0" autoLine="0" autoPict="0">
                <anchor moveWithCells="1" sizeWithCells="1">
                  <from>
                    <xdr:col>5</xdr:col>
                    <xdr:colOff>368300</xdr:colOff>
                    <xdr:row>25</xdr:row>
                    <xdr:rowOff>25400</xdr:rowOff>
                  </from>
                  <to>
                    <xdr:col>5</xdr:col>
                    <xdr:colOff>749300</xdr:colOff>
                    <xdr:row>25</xdr:row>
                    <xdr:rowOff>177800</xdr:rowOff>
                  </to>
                </anchor>
              </controlPr>
            </control>
          </mc:Choice>
        </mc:AlternateContent>
        <mc:AlternateContent xmlns:mc="http://schemas.openxmlformats.org/markup-compatibility/2006">
          <mc:Choice Requires="x14">
            <control shapeId="1157" r:id="rId12" name="Drop Down 133">
              <controlPr defaultSize="0" autoLine="0" autoPict="0">
                <anchor moveWithCells="1" sizeWithCells="1">
                  <from>
                    <xdr:col>5</xdr:col>
                    <xdr:colOff>368300</xdr:colOff>
                    <xdr:row>26</xdr:row>
                    <xdr:rowOff>25400</xdr:rowOff>
                  </from>
                  <to>
                    <xdr:col>5</xdr:col>
                    <xdr:colOff>749300</xdr:colOff>
                    <xdr:row>26</xdr:row>
                    <xdr:rowOff>177800</xdr:rowOff>
                  </to>
                </anchor>
              </controlPr>
            </control>
          </mc:Choice>
        </mc:AlternateContent>
        <mc:AlternateContent xmlns:mc="http://schemas.openxmlformats.org/markup-compatibility/2006">
          <mc:Choice Requires="x14">
            <control shapeId="1158" r:id="rId13" name="Drop Down 134">
              <controlPr defaultSize="0" autoLine="0" autoPict="0">
                <anchor moveWithCells="1" sizeWithCells="1">
                  <from>
                    <xdr:col>9</xdr:col>
                    <xdr:colOff>114300</xdr:colOff>
                    <xdr:row>8</xdr:row>
                    <xdr:rowOff>25400</xdr:rowOff>
                  </from>
                  <to>
                    <xdr:col>9</xdr:col>
                    <xdr:colOff>863600</xdr:colOff>
                    <xdr:row>8</xdr:row>
                    <xdr:rowOff>215900</xdr:rowOff>
                  </to>
                </anchor>
              </controlPr>
            </control>
          </mc:Choice>
        </mc:AlternateContent>
        <mc:AlternateContent xmlns:mc="http://schemas.openxmlformats.org/markup-compatibility/2006">
          <mc:Choice Requires="x14">
            <control shapeId="1150" r:id="rId14" name="Drop Down 126">
              <controlPr defaultSize="0" autoLine="0" autoPict="0">
                <anchor moveWithCells="1">
                  <from>
                    <xdr:col>4</xdr:col>
                    <xdr:colOff>76200</xdr:colOff>
                    <xdr:row>2</xdr:row>
                    <xdr:rowOff>215900</xdr:rowOff>
                  </from>
                  <to>
                    <xdr:col>4</xdr:col>
                    <xdr:colOff>3136900</xdr:colOff>
                    <xdr:row>4</xdr:row>
                    <xdr:rowOff>12700</xdr:rowOff>
                  </to>
                </anchor>
              </controlPr>
            </control>
          </mc:Choice>
        </mc:AlternateContent>
        <mc:AlternateContent xmlns:mc="http://schemas.openxmlformats.org/markup-compatibility/2006">
          <mc:Choice Requires="x14">
            <control shapeId="1159" r:id="rId15" name="ScannerCheckbox">
              <controlPr defaultSize="0" autoFill="0" autoLine="0" autoPict="0">
                <anchor moveWithCells="1" sizeWithCells="1">
                  <from>
                    <xdr:col>1</xdr:col>
                    <xdr:colOff>101600</xdr:colOff>
                    <xdr:row>13</xdr:row>
                    <xdr:rowOff>355600</xdr:rowOff>
                  </from>
                  <to>
                    <xdr:col>2</xdr:col>
                    <xdr:colOff>685800</xdr:colOff>
                    <xdr:row>15</xdr:row>
                    <xdr:rowOff>25400</xdr:rowOff>
                  </to>
                </anchor>
              </controlPr>
            </control>
          </mc:Choice>
        </mc:AlternateContent>
        <mc:AlternateContent xmlns:mc="http://schemas.openxmlformats.org/markup-compatibility/2006">
          <mc:Choice Requires="x14">
            <control shapeId="1161" r:id="rId16" name="DropDown_IndexScanner">
              <controlPr defaultSize="0" autoLine="0" autoPict="0">
                <anchor moveWithCells="1" sizeWithCells="1">
                  <from>
                    <xdr:col>2</xdr:col>
                    <xdr:colOff>736600</xdr:colOff>
                    <xdr:row>14</xdr:row>
                    <xdr:rowOff>0</xdr:rowOff>
                  </from>
                  <to>
                    <xdr:col>2</xdr:col>
                    <xdr:colOff>2006600</xdr:colOff>
                    <xdr:row>15</xdr:row>
                    <xdr:rowOff>25400</xdr:rowOff>
                  </to>
                </anchor>
              </controlPr>
            </control>
          </mc:Choice>
        </mc:AlternateContent>
        <mc:AlternateContent xmlns:mc="http://schemas.openxmlformats.org/markup-compatibility/2006">
          <mc:Choice Requires="x14">
            <control shapeId="1163" r:id="rId17" name="ChkB_UpgradeUpdate">
              <controlPr defaultSize="0" autoFill="0" autoLine="0" autoPict="0">
                <anchor moveWithCells="1" sizeWithCells="1">
                  <from>
                    <xdr:col>2</xdr:col>
                    <xdr:colOff>88900</xdr:colOff>
                    <xdr:row>4</xdr:row>
                    <xdr:rowOff>12700</xdr:rowOff>
                  </from>
                  <to>
                    <xdr:col>2</xdr:col>
                    <xdr:colOff>2984500</xdr:colOff>
                    <xdr:row>4</xdr:row>
                    <xdr:rowOff>215900</xdr:rowOff>
                  </to>
                </anchor>
              </controlPr>
            </control>
          </mc:Choice>
        </mc:AlternateContent>
        <mc:AlternateContent xmlns:mc="http://schemas.openxmlformats.org/markup-compatibility/2006">
          <mc:Choice Requires="x14">
            <control shapeId="1164" r:id="rId18" name="DropDown_N_SoftwareOrUpg">
              <controlPr defaultSize="0" autoLine="0" autoPict="0">
                <anchor moveWithCells="1">
                  <from>
                    <xdr:col>1</xdr:col>
                    <xdr:colOff>0</xdr:colOff>
                    <xdr:row>3</xdr:row>
                    <xdr:rowOff>25400</xdr:rowOff>
                  </from>
                  <to>
                    <xdr:col>2</xdr:col>
                    <xdr:colOff>25400</xdr:colOff>
                    <xdr:row>3</xdr:row>
                    <xdr:rowOff>215900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FF0000"/>
    <pageSetUpPr fitToPage="1"/>
  </sheetPr>
  <dimension ref="A1:P15"/>
  <sheetViews>
    <sheetView showGridLines="0" zoomScaleNormal="100" workbookViewId="0">
      <selection activeCell="D5" sqref="D5"/>
    </sheetView>
  </sheetViews>
  <sheetFormatPr baseColWidth="10" defaultColWidth="0" defaultRowHeight="16" zeroHeight="1" x14ac:dyDescent="0.2"/>
  <cols>
    <col min="1" max="1" width="15.1640625" customWidth="1"/>
    <col min="2" max="2" width="5.6640625" style="1" customWidth="1"/>
    <col min="3" max="3" width="39.1640625" style="1" customWidth="1"/>
    <col min="4" max="4" width="11.1640625" style="1" customWidth="1"/>
    <col min="5" max="5" width="52.1640625" style="1" customWidth="1"/>
    <col min="6" max="7" width="14.1640625" style="1" customWidth="1"/>
    <col min="8" max="8" width="14.1640625" style="1" bestFit="1" customWidth="1"/>
    <col min="9" max="9" width="14.1640625" customWidth="1"/>
    <col min="10" max="10" width="17.5" customWidth="1"/>
    <col min="11" max="16" width="10.6640625" customWidth="1"/>
    <col min="17" max="16384" width="10.6640625" hidden="1"/>
  </cols>
  <sheetData>
    <row r="1" spans="1:16" ht="21.5" customHeight="1" x14ac:dyDescent="0.2">
      <c r="B1" s="319" t="str">
        <f>$A$13 &amp; IF(Francais," Liste de Prix V. "," Price List V. ") &amp; YearOfList &amp;
IF(Francais, " en devise "," in ") &amp; IF(IndexCurrency=3,"USD",IF(IndexCurrency=2,"Euro","CAD")) &amp; IF(Francais, ""," Currency")</f>
        <v>WinCELL™ Liste de Prix V. 2026 en devise USD</v>
      </c>
      <c r="C1" s="320"/>
      <c r="G1" s="321"/>
      <c r="H1" s="15"/>
      <c r="J1" s="911" t="str">
        <f>IF(Francais,
"2) Si vous avez déjà "&amp; SUBSTITUTE(A13,"™","") &amp; ", indiquez combien de licences (pour un rabais)." &amp; CONCATENATE(CHAR(10), REPT(" ",5), "↓"),
"2) If you already own "&amp; SUBSTITUTE(A13,"™","") &amp; ", indicate how many licences (to get a discount)." &amp; CONCATENATE(CHAR(10), REPT(" ", 5), "↓"))</f>
        <v>2) Si vous avez déjà WinCELL, indiquez combien de licences (pour un rabais).
     ↓</v>
      </c>
    </row>
    <row r="2" spans="1:16" s="1" customFormat="1" ht="30" customHeight="1" x14ac:dyDescent="0.2">
      <c r="A2" s="922" t="str">
        <f>IF(Francais,
"1) Choisir combien de license(s) et le modèle du logiciel à acheter" &amp; IF(Checkbox_Updates=TRUE," / mettre à jour.","."),
"1) Select how many license(s) and which model to buy" &amp; IF(Checkbox_Updates=TRUE," or update to.",".") )
&amp; " →"&amp; CHAR(10)  &amp; IF(Checkbox_Updates=TRUE,IF(Francais,
"Pour mettre " &amp; "→" &amp; CHAR(10) &amp; "à jour des licenses, cochez la case, entrée l'année et sélectionnez le modèle que vous possédez.",
"To update " &amp; "→" &amp; CHAR(10)  &amp; "license(s), "  &amp; "check this box, enter the year and select the model you own."),
"")</f>
        <v>1) Choisir combien de license(s) et le modèle du logiciel à acheter / mettre à jour. →
Pour mettre →
à jour des licenses, cochez la case, entrée l'année et sélectionnez le modèle que vous possédez.</v>
      </c>
      <c r="B2" s="585"/>
      <c r="C2" s="586" t="str">
        <f>IF(Francais,"Logiciel","Software")</f>
        <v>Logiciel</v>
      </c>
      <c r="D2" s="587"/>
      <c r="E2" s="587"/>
      <c r="F2" s="587"/>
      <c r="G2" s="587"/>
      <c r="H2" s="587"/>
      <c r="I2" s="588"/>
      <c r="J2" s="911"/>
    </row>
    <row r="3" spans="1:16" s="1" customFormat="1" ht="18" customHeight="1" x14ac:dyDescent="0.2">
      <c r="A3" s="922"/>
      <c r="B3" s="660"/>
      <c r="C3" s="627"/>
      <c r="D3" s="627"/>
      <c r="E3" s="590" t="str">
        <f>REPT(" ",15) &amp; IF(Francais,"Modèle","Model")</f>
        <v xml:space="preserve">               Modèle</v>
      </c>
      <c r="F3" s="60"/>
      <c r="G3" s="15" t="str">
        <f>IF(Francais,"Prix Unit. de Liste","Item List Price")</f>
        <v>Prix Unit. de Liste</v>
      </c>
      <c r="H3" s="15" t="str">
        <f>IF(Francais,"Prix de liste","List Price")</f>
        <v>Prix de liste</v>
      </c>
      <c r="I3" s="591" t="str">
        <f>IF(Francais,"Code Harmonisé","Harmonized Code")</f>
        <v>Code Harmonisé</v>
      </c>
      <c r="J3" s="911"/>
    </row>
    <row r="4" spans="1:16" ht="18" customHeight="1" x14ac:dyDescent="0.2">
      <c r="A4" s="922"/>
      <c r="B4" s="687"/>
      <c r="C4" s="686" t="str">
        <f>IF(Francais,"License(s) Logiciel " &amp; $A$13,$A$13&amp;" Software License(s)")</f>
        <v>License(s) Logiciel WinCELL™</v>
      </c>
      <c r="D4" s="140"/>
      <c r="E4" s="140"/>
      <c r="F4" s="140"/>
      <c r="G4" s="141">
        <f>IF(CELL_ChkBox_UpgradeUpdate,IFERROR(H4/(CELL_N_UpgradeUpdate-1),0),
IFERROR(H4/(CELL_N_Software-1),0))</f>
        <v>0</v>
      </c>
      <c r="H4" s="184">
        <f>IF(CELL_ChkBox_UpgradeUpdate,QCalc!F201,
ROUND((INDEX(CELL_SoftwarePriceList,CELL_IndexSoftware))*
IF(CELL_N_Software-1=0,0,SUM(MMULT(
  _xlfn.MUNIT(
   CELL_N_Software-1),
    INDEX(TableLists[Column10],CELL_N_AlreadyHaveSoftware-1+2):
    INDEX(TableLists[Column10],(CELL_N_AlreadyHaveSoftware-1+1)+(CELL_N_Software-1))
))),0))</f>
        <v>0</v>
      </c>
      <c r="I4" s="688">
        <v>852349</v>
      </c>
      <c r="J4" s="911"/>
    </row>
    <row r="5" spans="1:16" ht="18" customHeight="1" x14ac:dyDescent="0.2">
      <c r="A5" s="922"/>
      <c r="B5" s="600"/>
      <c r="C5" s="708" t="str">
        <f>IF(Francais,"Mise à jour d'une vieille version",
"Update from an older version")</f>
        <v>Mise à jour d'une vieille version</v>
      </c>
      <c r="D5" s="752">
        <v>2005</v>
      </c>
      <c r="E5" s="203" t="str">
        <f>IF(CELL_N_UpgradeUpdate&gt;1,
IF(N("Si on downgrade model")+CELL_IndexModelSoftware&lt;CELL_IndexModelClient,"Downgrading model is not possible",""),"")</f>
        <v/>
      </c>
      <c r="F5" s="128" t="str">
        <f>IF(Francais,"Coût mise à jour","Update cost")</f>
        <v>Coût mise à jour</v>
      </c>
      <c r="G5" s="170">
        <f>IF(N("Si Downgrade prix=0 else Prix")+OR(
IF(N("Si on downgrade model")+CELL_IndexModelSoftware&lt;CELL_IndexModelClient,1,0),
IF(N("Si no update")+CELL_YearMostRecent&lt;=CELL_YearClient,1,0)
),0,
N("PrixUpdate:")+(MAX(INDEX(CELL_SoftwarePriceList,(CELL_IndexClientVersion))*(1-(1-UpdateResidualValueAfterAnneesMax))*(MIN(CELL_YearMostRecent-CELL_YearClient,UpdateNAnnesMax))/UpdateNAnnesMax,UpdateMinPrice)+CteUpdate)*(VARS_PriceRise2026_Updates)
)</f>
        <v>1700.3999999999999</v>
      </c>
      <c r="H5" s="712"/>
      <c r="I5" s="709"/>
      <c r="J5" s="911"/>
    </row>
    <row r="6" spans="1:16" ht="18" customHeight="1" x14ac:dyDescent="0.2">
      <c r="A6" s="922"/>
      <c r="B6" s="596"/>
      <c r="C6" s="1" t="str">
        <f>IF(CELL_ChkBox_UpgradeUpdate, REPT(" ",6) &amp; IF(Francais,
"Si Mise à jour, la licence actuelle devient inutilisable. Votre clé doit être renvoyée pour un échange ou reprogrammée pour la nouvelle version.",
"When updating, you can't use your current license anymore. Your key must be returned for an exchange or reprogrammed for the new version."
),"")</f>
        <v/>
      </c>
      <c r="D6" s="680"/>
      <c r="E6" s="680"/>
      <c r="F6" s="128" t="str">
        <f>IF(Francais,"Coût mise à niveau","Upgrade cost")</f>
        <v>Coût mise à niveau</v>
      </c>
      <c r="G6" s="171">
        <f>IF(N("Si Downgrade prix=0 else Prix")+OR(
IF(N("Si on downgrade model")+CELL_IndexModelSoftware&lt;CELL_IndexModelClient,1,0)),0,
N("PrixUpgrade :")+(IF(AND((CELL_IndexSoftware-CELL_IndexClientVersion)&gt;0,CELL_IndexSoftware&lt;&gt;CELL_IndexClientVersion),INDEX(CELL_SoftwarePriceList,CELL_IndexSoftware)-INDEX(CELL_SoftwarePriceList,CELL_IndexClientVersion),0))
)</f>
        <v>0</v>
      </c>
      <c r="H6" s="712"/>
      <c r="I6" s="709"/>
      <c r="J6" s="911"/>
    </row>
    <row r="7" spans="1:16" ht="18" customHeight="1" x14ac:dyDescent="0.2">
      <c r="A7" s="922"/>
      <c r="B7" s="596"/>
      <c r="C7" s="1" t="str">
        <f>"• " &amp; A13 &amp; " " &amp; IF(Francais,
"License Logiciel (32 et 64-bit, pour Windows 8 à 11). Manuesl d'instructions (PDF &amp; Imprimé). Pas d'activation " &amp; "&amp;" &amp;" connexion Internet requise. Licence perpétuelle (valide indéfiniment sans frais supplémentaires).",
"Software license (32 and 64-bit, for Windows 8 to 11). Instructions manuals (PDF &amp; Printed). No activation " &amp; "&amp;" &amp;" Internet connection required. Perpetual license (use it as long as you want without afterward fees)."
)</f>
        <v>• WinCELL™ License Logiciel (32 et 64-bit, pour Windows 8 à 11). Manuesl d'instructions (PDF &amp; Imprimé). Pas d'activation &amp; connexion Internet requise. Licence perpétuelle (valide indéfiniment sans frais supplémentaires).</v>
      </c>
      <c r="D7" s="201"/>
      <c r="E7" s="201"/>
      <c r="I7" s="597"/>
      <c r="J7" s="911"/>
    </row>
    <row r="8" spans="1:16" ht="18" customHeight="1" x14ac:dyDescent="0.2">
      <c r="A8" s="922"/>
      <c r="B8" s="596"/>
      <c r="C8" s="1" t="str">
        <f>"• XL" &amp; PROPER(SUBSTITUTE(A13,"Win","")) &amp; " " &amp; IF(Francais,"Logiciel pour analyse des données de " &amp;A13&amp; " (requiert MS Excel, non-inclus)","Software for " &amp;A13&amp; "'s data Analysis (requires MS Excel, not included)" )</f>
        <v>• XLCell™ Logiciel pour analyse des données de WinCELL™ (requiert MS Excel, non-inclus)</v>
      </c>
      <c r="D8" s="201"/>
      <c r="E8" s="201"/>
      <c r="F8" s="918" t="str">
        <f>IF(Checkbox_Instructions,HYPERLINK("https://regentinstruments.com/assets/" &amp; LOWER(LEFT($A$13,LEN($A$13)-1)) &amp; "_features.html?utm_source=PriceQuoteXLS",IF(Francais,"Cliquez pour voir les caractéristiques par modèle de logiciel","Click to view features per software model")),"")</f>
        <v>Cliquez pour voir les caractéristiques par modèle de logiciel</v>
      </c>
      <c r="G8" s="918"/>
      <c r="H8" s="918"/>
      <c r="I8" s="919"/>
      <c r="J8" s="143" t="str">
        <f>IF(Francais,"  Je possède", "  I own")</f>
        <v xml:space="preserve">  Je possède</v>
      </c>
    </row>
    <row r="9" spans="1:16" ht="18" customHeight="1" x14ac:dyDescent="0.2">
      <c r="A9" s="922"/>
      <c r="B9" s="598"/>
      <c r="C9" s="1" t="str">
        <f>IF(Francais,
"• Clé de protection USB (dispositif de contrôle du logiciel). Le logiciel peut être installé sur plusieurs ordinateurs du titulaire de la licence, "&amp;"mais seul celui où la clé est connectée fonctionnera (facile de déplacer la clé d'ordinateur).",
"• USB drive &amp; key (software controlling device). Software can be installed on more than one licensee's computers, but only the one which has the key connected to it can run at a time (easy to move the key from one computer to another)."
)</f>
        <v>• Clé de protection USB (dispositif de contrôle du logiciel). Le logiciel peut être installé sur plusieurs ordinateurs du titulaire de la licence, mais seul celui où la clé est connectée fonctionnera (facile de déplacer la clé d'ordinateur).</v>
      </c>
      <c r="D9" s="7"/>
      <c r="E9" s="7"/>
      <c r="I9" s="597"/>
      <c r="K9" s="332"/>
      <c r="L9" s="332"/>
      <c r="M9" s="332"/>
      <c r="N9" s="332"/>
      <c r="O9" s="332"/>
      <c r="P9" s="332"/>
    </row>
    <row r="10" spans="1:16" ht="7.5" customHeight="1" x14ac:dyDescent="0.2">
      <c r="A10" s="922"/>
      <c r="B10" s="650"/>
      <c r="C10" s="604"/>
      <c r="D10" s="604"/>
      <c r="E10" s="604"/>
      <c r="F10" s="604"/>
      <c r="G10" s="604"/>
      <c r="H10" s="618"/>
      <c r="I10" s="605"/>
      <c r="J10" s="924" t="str">
        <f>IF(Francais,"License(s) Logiciel " &amp; A13,A13&amp;" Software License(s)")</f>
        <v>License(s) Logiciel WinCELL™</v>
      </c>
    </row>
    <row r="11" spans="1:16" ht="25.5" customHeight="1" x14ac:dyDescent="0.2">
      <c r="A11" s="922"/>
      <c r="F11" s="702"/>
      <c r="G11" s="703" t="str">
        <f>IF(Francais,"SOUS-TOTAL LOGICIEL:","SOFTWARE SUBTOTAL:")</f>
        <v>SOUS-TOTAL LOGICIEL:</v>
      </c>
      <c r="H11" s="704">
        <f>H4</f>
        <v>0</v>
      </c>
      <c r="I11" s="705"/>
      <c r="J11" s="924"/>
    </row>
    <row r="12" spans="1:16" ht="15.75" customHeight="1" x14ac:dyDescent="0.2">
      <c r="A12" s="922"/>
      <c r="I12" s="1"/>
      <c r="J12" s="924"/>
    </row>
    <row r="13" spans="1:16" ht="28.25" customHeight="1" x14ac:dyDescent="0.3">
      <c r="A13" s="322" t="s">
        <v>173</v>
      </c>
      <c r="B13" s="315"/>
      <c r="C13" s="316"/>
      <c r="D13" s="316"/>
      <c r="E13" s="707" t="str">
        <f>A13 &amp; IF(Francais, " Logiciel et Matériel"," Software &amp; Hardware")</f>
        <v>WinCELL™ Logiciel et Matériel</v>
      </c>
      <c r="F13" s="689"/>
      <c r="G13" s="689" t="s">
        <v>771</v>
      </c>
      <c r="H13" s="690">
        <f>(H4)</f>
        <v>0</v>
      </c>
      <c r="I13" s="691"/>
      <c r="J13" s="924"/>
    </row>
    <row r="14" spans="1:16" ht="18.75" customHeight="1" x14ac:dyDescent="0.2">
      <c r="A14" s="333"/>
      <c r="G14" s="720" t="str">
        <f>IF(Francais,"Valide jusqu'au","Valid until")</f>
        <v>Valide jusqu'au</v>
      </c>
      <c r="H14" s="318" t="s">
        <v>795</v>
      </c>
      <c r="J14" s="631"/>
    </row>
    <row r="15" spans="1:16" ht="15.75" customHeight="1" x14ac:dyDescent="0.2">
      <c r="A15" s="717"/>
      <c r="B15" s="715"/>
      <c r="C15" s="715"/>
      <c r="D15" s="717"/>
      <c r="E15" s="718" t="str">
        <f>HYPERLINK("mailto:sales@regentinstruments.com",IF(Francais,"Pour des questions ou pour placer une commande, contactez: sales@regentinstruments.com","For questions or to place an order contact: sales@regentinstruments.com"))</f>
        <v>Pour des questions ou pour placer une commande, contactez: sales@regentinstruments.com</v>
      </c>
      <c r="F15" s="715"/>
      <c r="G15" s="715"/>
      <c r="H15" s="715"/>
      <c r="I15" s="715"/>
      <c r="J15" s="631"/>
    </row>
  </sheetData>
  <sheetProtection algorithmName="SHA-512" hashValue="lNo6F/hcY4ow9s87MYwWOXuJp06y48sWjNIBUqR7P4cV2BXxmni/ABorSlvqiFlP3w6aNtHQpLqCRJijORYAWQ==" saltValue="hTmMlTpGl07oYaZEklj9Eg==" spinCount="100000" sheet="1" objects="1" scenarios="1" selectLockedCells="1"/>
  <mergeCells count="4">
    <mergeCell ref="F8:I8"/>
    <mergeCell ref="J1:J7"/>
    <mergeCell ref="J10:J13"/>
    <mergeCell ref="A2:A12"/>
  </mergeCells>
  <conditionalFormatting sqref="G5:G6">
    <cfRule type="expression" dxfId="44" priority="68">
      <formula>IF(N("Si Downgrade prix=0 else Prix")+OR( IF(N("Si on downgrade model")+CELL_IndexModelSoftware&lt;CELL_IndexModelClient,1,0), IF(N("Si on downgrade de 64bits à 32bits")+AND(CELL_IndexClientVersion&gt;CELL_UpgradeNModels,CELL_IndexSoftware&lt;=CELL_UpgradeNModels),1,0) ),1,0)</formula>
    </cfRule>
  </conditionalFormatting>
  <conditionalFormatting sqref="G4:G6 H11 H13">
    <cfRule type="expression" dxfId="43" priority="69">
      <formula>OR(IndexZone=5)</formula>
    </cfRule>
    <cfRule type="expression" dxfId="42" priority="70">
      <formula>OR(IndexZone=3, IndexZone=8, IndexZone=10)</formula>
    </cfRule>
  </conditionalFormatting>
  <conditionalFormatting sqref="D7:D8">
    <cfRule type="expression" dxfId="41" priority="31">
      <formula>NOT(Checkbox_Descriptions)</formula>
    </cfRule>
  </conditionalFormatting>
  <conditionalFormatting sqref="B3:D3 F3:I3">
    <cfRule type="expression" dxfId="40" priority="12">
      <formula>NOT(Checkbox_Instructions)</formula>
    </cfRule>
  </conditionalFormatting>
  <conditionalFormatting sqref="J1">
    <cfRule type="expression" dxfId="39" priority="9">
      <formula>NOT(Checkbox_Instructions)</formula>
    </cfRule>
  </conditionalFormatting>
  <conditionalFormatting sqref="F5:G6">
    <cfRule type="expression" dxfId="38" priority="6">
      <formula>IF(CELL_ChkBox_UpgradeUpdate,0,1)</formula>
    </cfRule>
  </conditionalFormatting>
  <conditionalFormatting sqref="A2">
    <cfRule type="expression" dxfId="37" priority="1">
      <formula>NOT(Checkbox_Instructions)</formula>
    </cfRule>
  </conditionalFormatting>
  <dataValidations count="1">
    <dataValidation type="custom" allowBlank="1" showErrorMessage="1" sqref="F8" xr:uid="{00000000-0002-0000-0900-000000000000}">
      <formula1>"&lt;0&gt;0"</formula1>
    </dataValidation>
  </dataValidations>
  <pageMargins left="0.7" right="0.7" top="0.75" bottom="0.75" header="0.3" footer="0.3"/>
  <pageSetup scale="53" orientation="landscape"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57345" r:id="rId4" name="CheckBoxDetails">
              <controlPr defaultSize="0" autoFill="0" autoLine="0" autoPict="0">
                <anchor moveWithCells="1" sizeWithCells="1">
                  <from>
                    <xdr:col>5</xdr:col>
                    <xdr:colOff>25400</xdr:colOff>
                    <xdr:row>0</xdr:row>
                    <xdr:rowOff>25400</xdr:rowOff>
                  </from>
                  <to>
                    <xdr:col>5</xdr:col>
                    <xdr:colOff>1092200</xdr:colOff>
                    <xdr:row>0</xdr:row>
                    <xdr:rowOff>228600</xdr:rowOff>
                  </to>
                </anchor>
              </controlPr>
            </control>
          </mc:Choice>
        </mc:AlternateContent>
        <mc:AlternateContent xmlns:mc="http://schemas.openxmlformats.org/markup-compatibility/2006">
          <mc:Choice Requires="x14">
            <control shapeId="57366" r:id="rId5" name="Drop Down 22">
              <controlPr defaultSize="0" autoLine="0" autoPict="0">
                <anchor moveWithCells="1">
                  <from>
                    <xdr:col>4</xdr:col>
                    <xdr:colOff>76200</xdr:colOff>
                    <xdr:row>2</xdr:row>
                    <xdr:rowOff>215900</xdr:rowOff>
                  </from>
                  <to>
                    <xdr:col>4</xdr:col>
                    <xdr:colOff>3136900</xdr:colOff>
                    <xdr:row>4</xdr:row>
                    <xdr:rowOff>12700</xdr:rowOff>
                  </to>
                </anchor>
              </controlPr>
            </control>
          </mc:Choice>
        </mc:AlternateContent>
        <mc:AlternateContent xmlns:mc="http://schemas.openxmlformats.org/markup-compatibility/2006">
          <mc:Choice Requires="x14">
            <control shapeId="57367" r:id="rId6" name="Drop Down 23">
              <controlPr defaultSize="0" autoLine="0" autoPict="0">
                <anchor moveWithCells="1" sizeWithCells="1">
                  <from>
                    <xdr:col>9</xdr:col>
                    <xdr:colOff>114300</xdr:colOff>
                    <xdr:row>8</xdr:row>
                    <xdr:rowOff>25400</xdr:rowOff>
                  </from>
                  <to>
                    <xdr:col>9</xdr:col>
                    <xdr:colOff>863600</xdr:colOff>
                    <xdr:row>8</xdr:row>
                    <xdr:rowOff>203200</xdr:rowOff>
                  </to>
                </anchor>
              </controlPr>
            </control>
          </mc:Choice>
        </mc:AlternateContent>
        <mc:AlternateContent xmlns:mc="http://schemas.openxmlformats.org/markup-compatibility/2006">
          <mc:Choice Requires="x14">
            <control shapeId="57370" r:id="rId7" name="DropDown_N_SoftwareOrUpg">
              <controlPr defaultSize="0" autoLine="0" autoPict="0">
                <anchor moveWithCells="1">
                  <from>
                    <xdr:col>1</xdr:col>
                    <xdr:colOff>0</xdr:colOff>
                    <xdr:row>3</xdr:row>
                    <xdr:rowOff>25400</xdr:rowOff>
                  </from>
                  <to>
                    <xdr:col>2</xdr:col>
                    <xdr:colOff>25400</xdr:colOff>
                    <xdr:row>3</xdr:row>
                    <xdr:rowOff>215900</xdr:rowOff>
                  </to>
                </anchor>
              </controlPr>
            </control>
          </mc:Choice>
        </mc:AlternateContent>
        <mc:AlternateContent xmlns:mc="http://schemas.openxmlformats.org/markup-compatibility/2006">
          <mc:Choice Requires="x14">
            <control shapeId="57368" r:id="rId8" name="DropDown_IndexClientVersion">
              <controlPr defaultSize="0" autoLine="0" autoPict="0">
                <anchor moveWithCells="1" sizeWithCells="1">
                  <from>
                    <xdr:col>4</xdr:col>
                    <xdr:colOff>76200</xdr:colOff>
                    <xdr:row>4</xdr:row>
                    <xdr:rowOff>0</xdr:rowOff>
                  </from>
                  <to>
                    <xdr:col>4</xdr:col>
                    <xdr:colOff>1473200</xdr:colOff>
                    <xdr:row>5</xdr:row>
                    <xdr:rowOff>0</xdr:rowOff>
                  </to>
                </anchor>
              </controlPr>
            </control>
          </mc:Choice>
        </mc:AlternateContent>
        <mc:AlternateContent xmlns:mc="http://schemas.openxmlformats.org/markup-compatibility/2006">
          <mc:Choice Requires="x14">
            <control shapeId="57371" r:id="rId9" name="ChkB_UpgradeUpdate">
              <controlPr defaultSize="0" autoFill="0" autoLine="0" autoPict="0">
                <anchor moveWithCells="1" sizeWithCells="1">
                  <from>
                    <xdr:col>2</xdr:col>
                    <xdr:colOff>76200</xdr:colOff>
                    <xdr:row>4</xdr:row>
                    <xdr:rowOff>12700</xdr:rowOff>
                  </from>
                  <to>
                    <xdr:col>2</xdr:col>
                    <xdr:colOff>2971800</xdr:colOff>
                    <xdr:row>4</xdr:row>
                    <xdr:rowOff>215900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tabColor rgb="FF7030A0"/>
    <pageSetUpPr fitToPage="1"/>
  </sheetPr>
  <dimension ref="A1:P38"/>
  <sheetViews>
    <sheetView showGridLines="0" zoomScaleNormal="100" workbookViewId="0">
      <selection activeCell="D5" sqref="D5"/>
    </sheetView>
  </sheetViews>
  <sheetFormatPr baseColWidth="10" defaultColWidth="0" defaultRowHeight="16" zeroHeight="1" x14ac:dyDescent="0.2"/>
  <cols>
    <col min="1" max="1" width="15.1640625" customWidth="1"/>
    <col min="2" max="2" width="5.6640625" style="1" customWidth="1"/>
    <col min="3" max="3" width="39.1640625" style="1" customWidth="1"/>
    <col min="4" max="4" width="11.1640625" style="1" customWidth="1"/>
    <col min="5" max="5" width="52.1640625" style="1" customWidth="1"/>
    <col min="6" max="7" width="14.1640625" style="1" customWidth="1"/>
    <col min="8" max="8" width="14.1640625" style="1" bestFit="1" customWidth="1"/>
    <col min="9" max="9" width="14.1640625" customWidth="1"/>
    <col min="10" max="10" width="17.5" customWidth="1"/>
    <col min="11" max="16" width="10.6640625" customWidth="1"/>
    <col min="17" max="16384" width="10.6640625" hidden="1"/>
  </cols>
  <sheetData>
    <row r="1" spans="1:16" ht="21.5" customHeight="1" x14ac:dyDescent="0.2">
      <c r="A1" s="111"/>
      <c r="B1" s="319" t="str">
        <f>$A$27 &amp; IF(Francais," Liste de Prix V. "," Price List V. ") &amp; YearOfList &amp;
IF(Francais, " en devise "," in ") &amp; IF(IndexCurrency=3,"USD",IF(IndexCurrency=2,"Euro","CAD")) &amp; IF(Francais, ""," Currency")</f>
        <v>WinSCANOPY™ Liste de Prix V. 2026 en devise USD</v>
      </c>
      <c r="C1" s="320"/>
      <c r="G1" s="321"/>
      <c r="H1" s="15"/>
      <c r="J1" s="911" t="str">
        <f>IF(Francais,
"2) Si vous avez déjà "&amp; SUBSTITUTE(A27,"™","") &amp; ", indiquez combien de licences (pour un rabais)." &amp; CONCATENATE(CHAR(10), REPT(" ",9), "↓"),
"2) If you already own "&amp; SUBSTITUTE(A27,"™","") &amp; ", indicate how many licences (to get a discount)." &amp; CONCATENATE(CHAR(10), REPT(" ", 9), "↓"))</f>
        <v>2) Si vous avez déjà WinSCANOPY, indiquez combien de licences (pour un rabais).
         ↓</v>
      </c>
    </row>
    <row r="2" spans="1:16" s="1" customFormat="1" ht="30" customHeight="1" x14ac:dyDescent="0.2">
      <c r="A2" s="922" t="str">
        <f>IF(Francais,
"1) Choisir combien de license(s) et le modèle du logiciel à acheter" &amp; IF(Checkbox_Updates=TRUE," / mettre à jour.","."),
"1) Select how many license(s) and which model to buy" &amp; IF(Checkbox_Updates=TRUE," or update to.",".") )
&amp; " →"&amp; CHAR(10)  &amp; IF(Checkbox_Updates=TRUE,IF(Francais,
"Pour mettre " &amp; "→" &amp; CHAR(10) &amp; "à jour des licenses, cochez la case, entrée l'année et sélectionnez le modèle que vous possédez.",
"To update " &amp; "→" &amp; CHAR(10)  &amp; "license(s), "  &amp; "check this box, enter the year and select the model you own."),
"")</f>
        <v>1) Choisir combien de license(s) et le modèle du logiciel à acheter / mettre à jour. →
Pour mettre →
à jour des licenses, cochez la case, entrée l'année et sélectionnez le modèle que vous possédez.</v>
      </c>
      <c r="B2" s="585"/>
      <c r="C2" s="586" t="str">
        <f>IF(Francais,"Logiciel","Software")</f>
        <v>Logiciel</v>
      </c>
      <c r="D2" s="587"/>
      <c r="E2" s="587"/>
      <c r="F2" s="587"/>
      <c r="G2" s="587"/>
      <c r="H2" s="587"/>
      <c r="I2" s="588"/>
      <c r="J2" s="911"/>
    </row>
    <row r="3" spans="1:16" s="1" customFormat="1" ht="18" customHeight="1" x14ac:dyDescent="0.2">
      <c r="A3" s="922"/>
      <c r="B3" s="601"/>
      <c r="E3" s="590" t="str">
        <f>REPT(" ",15) &amp; IF(Francais,"Modèle","Model")</f>
        <v xml:space="preserve">               Modèle</v>
      </c>
      <c r="G3" s="15" t="str">
        <f>IF(Francais,"Prix Unit. de Liste","Item List Price")</f>
        <v>Prix Unit. de Liste</v>
      </c>
      <c r="H3" s="15" t="str">
        <f>IF(Francais,"Prix de liste","List Price")</f>
        <v>Prix de liste</v>
      </c>
      <c r="I3" s="591" t="str">
        <f>IF(Francais,"Code Harmonisé","Harmonized Code")</f>
        <v>Code Harmonisé</v>
      </c>
      <c r="J3" s="911"/>
    </row>
    <row r="4" spans="1:16" ht="18" customHeight="1" x14ac:dyDescent="0.2">
      <c r="A4" s="922"/>
      <c r="B4" s="692"/>
      <c r="C4" s="693" t="str">
        <f>IF(Francais,"License(s) Logiciel " &amp; $A$27,$A$27&amp;" Software License(s)")</f>
        <v>License(s) Logiciel WinSCANOPY™</v>
      </c>
      <c r="D4" s="694"/>
      <c r="E4" s="694"/>
      <c r="F4" s="694"/>
      <c r="G4" s="167">
        <f>IF(SCANOPY_ChkBox_UpgradeUpdate,IFERROR(H4/(SCANOPY_N_UpgradeUpdate-1),0),
IFERROR(H4/(SCANOPY_N_Software-1),0))</f>
        <v>0</v>
      </c>
      <c r="H4" s="199">
        <f>IF(SCANOPY_ChkBox_UpgradeUpdate,ROUND((G5+G6)*(SCANOPY_N_UpgradeUpdate-1),0),
ROUND((INDEX(SCANOPY_SoftwarePriceList,SCANOPY_IndexSoftware))*
IF(SCANOPY_N_Software-1=0,0,SUM(MMULT(
  _xlfn.MUNIT(
   SCANOPY_N_Software-1),
    INDEX(TableLists[Column10],SCANOPY_N_AlreadyHaveSoftware-1+2):
    INDEX(TableLists[Column10],(SCANOPY_N_AlreadyHaveSoftware-1+1)+(SCANOPY_N_Software-1))
))),0))</f>
        <v>0</v>
      </c>
      <c r="I4" s="695">
        <v>852349</v>
      </c>
      <c r="J4" s="911"/>
    </row>
    <row r="5" spans="1:16" ht="18" customHeight="1" x14ac:dyDescent="0.2">
      <c r="A5" s="922"/>
      <c r="B5" s="600"/>
      <c r="C5" s="708" t="str">
        <f>IF(Francais,"Mise à jour d'une vieille version",
"Update from an older version")</f>
        <v>Mise à jour d'une vieille version</v>
      </c>
      <c r="D5" s="752">
        <v>2019</v>
      </c>
      <c r="E5" s="203" t="str">
        <f>IF(SCANOPY_N_UpgradeUpdate&gt;1,
IF(N("Si on downgrade model")+SCANOPY_IndexModelSoftware&lt;SCANOPY_IndexModelClient,"Downgrading model is not possible",""),"")</f>
        <v/>
      </c>
      <c r="F5" s="128" t="str">
        <f>IF(Francais,"Coût mise à jour","Update cost")</f>
        <v>Coût mise à jour</v>
      </c>
      <c r="G5" s="172">
        <f>IF(N("Si Downgrade prix=0 else Prix")+OR(
IF(N("Si on downgrade model")+SCANOPY_IndexModelSoftware&lt;SCANOPY_IndexModelClient,1,0),
IF(N("Si no update")+SCANOPY_YearMostRecent&lt;=SCANOPY_YearClient,1,0)
),0,
N("PrixUpdate:")+(MAX(INDEX(SCANOPY_SoftwarePriceList,SCANOPY_IndexClientVersion)*(1-(1-UpdateResidualValueAfterAnneesMax))*(MIN(SCANOPY_YearMostRecent-SCANOPY_YearClient,UpdateNAnnesMax))/UpdateNAnnesMax,UpdateMinPrice)+CteUpdate)*(VARS_PriceRise2026_Updates)
)</f>
        <v>567.66</v>
      </c>
      <c r="H5" s="712"/>
      <c r="I5" s="709"/>
      <c r="J5" s="911"/>
    </row>
    <row r="6" spans="1:16" ht="18" customHeight="1" x14ac:dyDescent="0.2">
      <c r="A6" s="922"/>
      <c r="B6" s="596"/>
      <c r="C6" s="1" t="str">
        <f>IF(SCANOPY_ChkBox_UpgradeUpdate, REPT(" ",6) &amp; IF(Francais,
"Si Mise à jour, la licence actuelle devient inutilisable. Votre clé doit être renvoyée pour un échange ou reprogrammée pour la nouvelle version.",
"When updating, you can't use your current license anymore. Your key must be returned for an exchange or reprogrammed for the new version."
),"")</f>
        <v/>
      </c>
      <c r="D6" s="680"/>
      <c r="E6" s="680"/>
      <c r="F6" s="128" t="str">
        <f>IF(Francais,"Coût mise à niveau","Upgrade cost")</f>
        <v>Coût mise à niveau</v>
      </c>
      <c r="G6" s="173">
        <f>IF(N("Si Downgrade prix=0 else Prix")+OR(
IF(N("Si on downgrade model")+SCANOPY_IndexModelSoftware&lt;SCANOPY_IndexModelClient,1,0)),0,
N("PrixUpgrade :")+(IF(AND((SCANOPY_IndexSoftware-SCANOPY_IndexClientVersion)&gt;0,SCANOPY_IndexSoftware&lt;&gt;SCANOPY_IndexClientVersion),INDEX(SCANOPY_SoftwarePriceList,SCANOPY_IndexSoftware)-INDEX(SCANOPY_SoftwarePriceList,SCANOPY_IndexClientVersion),0))
)</f>
        <v>0</v>
      </c>
      <c r="H6" s="712"/>
      <c r="I6" s="709"/>
      <c r="J6" s="911"/>
    </row>
    <row r="7" spans="1:16" ht="18" customHeight="1" x14ac:dyDescent="0.2">
      <c r="A7" s="922"/>
      <c r="B7" s="596"/>
      <c r="C7" s="1" t="str">
        <f>"• " &amp; A27 &amp; " " &amp; IF(Francais,
"License Logiciel (32 et 64-bit, pour Windows 8 à 11). Manuesl d'instructions (PDF &amp; Imprimé). Pas d'activation " &amp; "&amp;" &amp;" connexion Internet requise. Licence perpétuelle (valide indéfiniment sans frais supplémentaires).",
"Software license (32 and 64-bit, for Windows 8 to 11). Instructions manuals (PDF &amp; Printed). No activation " &amp; "&amp;" &amp;" Internet connection required. Perpetual license (use it as long as you want without afterward fees)."
)</f>
        <v>• WinSCANOPY™ License Logiciel (32 et 64-bit, pour Windows 8 à 11). Manuesl d'instructions (PDF &amp; Imprimé). Pas d'activation &amp; connexion Internet requise. Licence perpétuelle (valide indéfiniment sans frais supplémentaires).</v>
      </c>
      <c r="D7" s="201"/>
      <c r="E7" s="201"/>
      <c r="I7" s="597"/>
      <c r="J7" s="911"/>
    </row>
    <row r="8" spans="1:16" ht="18" customHeight="1" x14ac:dyDescent="0.2">
      <c r="A8" s="922"/>
      <c r="B8" s="596"/>
      <c r="C8" s="1" t="str">
        <f>"• XL" &amp; PROPER(SUBSTITUTE(A27,"Win","")) &amp; IF(OR(SCANOPY_IndexSoftware=1,SCANOPY_IndexSoftware=4)," Mini","") &amp; " " &amp; IF(Francais,"Logiciel pour analyse des données de " &amp;A27 &amp; IF(OR(SCANOPY_IndexSoftware=1,SCANOPY_IndexSoftware=4)," Mini","") &amp;  " (requiert MS Excel, non-inclus)","Software for " &amp;A27 &amp; IF(OR(SCANOPY_IndexSoftware=1,SCANOPY_IndexSoftware=4)," Mini","") &amp; "'s data Analysis (requires MS Excel, not included)" )</f>
        <v>• XLScanopy™ Logiciel pour analyse des données de WinSCANOPY™ (requiert MS Excel, non-inclus)</v>
      </c>
      <c r="D8" s="201"/>
      <c r="E8" s="201"/>
      <c r="F8" s="918" t="str">
        <f>IF(Checkbox_Instructions,HYPERLINK("https://regentinstruments.com/assets/" &amp; LOWER(LEFT($A$27,LEN($A$27)-1)) &amp; "_features.html?utm_source=PriceQuoteXLS",IF(Francais,"Cliquez pour voir les caractéristiques par modèle de logiciel","Click to view features per software model")),"")</f>
        <v>Cliquez pour voir les caractéristiques par modèle de logiciel</v>
      </c>
      <c r="G8" s="918"/>
      <c r="H8" s="918"/>
      <c r="I8" s="919"/>
      <c r="J8" s="143" t="str">
        <f>IF(Francais,"  Je possède", "  I own")</f>
        <v xml:space="preserve">  Je possède</v>
      </c>
    </row>
    <row r="9" spans="1:16" ht="18" customHeight="1" x14ac:dyDescent="0.2">
      <c r="A9" s="922"/>
      <c r="B9" s="598"/>
      <c r="C9" s="1" t="str">
        <f>IF(Francais,
"• Clé de protection USB (dispositif de contrôle du logiciel). Le logiciel peut être installé sur plusieurs ordinateurs du titulaire de la licence, "&amp;"mais seul celui où la clé est connectée fonctionnera (facile de déplacer la clé d'ordinateur).",
"• USB drive &amp; key (software controlling device). Software can be installed on more than one licensee's computers, but only the one which has the key connected to it can run at a time (easy to move the key from one computer to another)."
)</f>
        <v>• Clé de protection USB (dispositif de contrôle du logiciel). Le logiciel peut être installé sur plusieurs ordinateurs du titulaire de la licence, mais seul celui où la clé est connectée fonctionnera (facile de déplacer la clé d'ordinateur).</v>
      </c>
      <c r="D9" s="7"/>
      <c r="E9" s="7"/>
      <c r="I9" s="597"/>
      <c r="K9" s="332"/>
      <c r="L9" s="332"/>
      <c r="M9" s="332"/>
      <c r="N9" s="332"/>
      <c r="O9" s="332"/>
      <c r="P9" s="332"/>
    </row>
    <row r="10" spans="1:16" ht="7.5" customHeight="1" x14ac:dyDescent="0.2">
      <c r="A10" s="922"/>
      <c r="B10" s="643"/>
      <c r="C10" s="618"/>
      <c r="D10" s="618"/>
      <c r="E10" s="618"/>
      <c r="F10" s="618"/>
      <c r="G10" s="618"/>
      <c r="H10" s="618"/>
      <c r="I10" s="605"/>
      <c r="J10" s="924" t="str">
        <f>IF(Francais,"License(s) Logiciel " &amp; A27,A27&amp;" Software License(s)")</f>
        <v>License(s) Logiciel WinSCANOPY™</v>
      </c>
    </row>
    <row r="11" spans="1:16" ht="25.5" customHeight="1" x14ac:dyDescent="0.2">
      <c r="A11" s="922"/>
      <c r="B11"/>
      <c r="C11"/>
      <c r="D11"/>
      <c r="E11"/>
      <c r="F11" s="702"/>
      <c r="G11" s="703" t="str">
        <f>IF(Francais,"SOUS-TOTAL LOGICIEL:","SOFTWARE SUBTOTAL:")</f>
        <v>SOUS-TOTAL LOGICIEL:</v>
      </c>
      <c r="H11" s="704">
        <f>H4+0*IFERROR(QCalc!F202,0)</f>
        <v>0</v>
      </c>
      <c r="I11" s="705"/>
      <c r="J11" s="924"/>
    </row>
    <row r="12" spans="1:16" ht="10" customHeight="1" x14ac:dyDescent="0.2">
      <c r="A12" s="922"/>
      <c r="B12"/>
      <c r="C12"/>
      <c r="D12"/>
      <c r="E12"/>
      <c r="F12"/>
      <c r="G12"/>
      <c r="H12"/>
      <c r="J12" s="924"/>
    </row>
    <row r="13" spans="1:16" ht="30" customHeight="1" x14ac:dyDescent="0.2">
      <c r="A13" s="716"/>
      <c r="B13" s="585"/>
      <c r="C13" s="586" t="str">
        <f>IF(Francais,"Matériel","Hardware")</f>
        <v>Matériel</v>
      </c>
      <c r="D13" s="606"/>
      <c r="E13" s="606"/>
      <c r="F13" s="587"/>
      <c r="G13" s="587"/>
      <c r="H13" s="587"/>
      <c r="I13" s="588"/>
      <c r="J13" s="924"/>
    </row>
    <row r="14" spans="1:16" ht="30.75" customHeight="1" x14ac:dyDescent="0.2">
      <c r="A14" s="922" t="str">
        <f>"3) " &amp;
IF(Francais,"Choisir 1 ou + → pour un système avec caméra, lentille et valise.","Select 1 or + → to get a system with a camera, lens and case.")</f>
        <v>3) Choisir 1 ou + → pour un système avec caméra, lentille et valise.</v>
      </c>
      <c r="B14" s="696"/>
      <c r="C14" s="697" t="str">
        <f>IF(Francais,
"Système WinSCANOPY™ ",
"WinSCANOPY™ " &amp;"System")</f>
        <v xml:space="preserve">Système WinSCANOPY™ </v>
      </c>
      <c r="D14" s="930" t="str">
        <f>IF(Francais,
"Incluant:",
"Including:")</f>
        <v>Incluant:</v>
      </c>
      <c r="E14" s="930"/>
      <c r="F14" s="166"/>
      <c r="G14" s="169">
        <f>IFERROR(H14/(SCANOPY_N_System-1),0)</f>
        <v>0</v>
      </c>
      <c r="H14" s="346">
        <f>IF(AND(SCANOPY_N_Software = 1, SCANOPY_N_UpgradeUpdate = 1, NOT(SuperUser), SCANOPY_N_System &gt; 1), IF(Francais, "vendu avec logiciel uniquement", "sold with software only"),
        ROUND((
            IF(SCANOPY_IndexScanner = 1, PrixSLR24MiniTrepiedValise, PrixGP27MiniTrepiedValise)
        ) * (SCANOPY_N_System - 1), 0)
    )</f>
        <v>0</v>
      </c>
      <c r="I14" s="695">
        <v>903149</v>
      </c>
      <c r="J14" s="631"/>
    </row>
    <row r="15" spans="1:16" x14ac:dyDescent="0.2">
      <c r="A15" s="922"/>
      <c r="B15" s="601"/>
      <c r="D15" s="1" t="str">
        <f>IF(Francais,
"• Lentille fisheye avec angle de vue 180°",
"• 180° Circular Fish-Eye lens ")</f>
        <v>• Lentille fisheye avec angle de vue 180°</v>
      </c>
      <c r="G15" s="915" t="str">
        <f>IF(Checkbox_Instructions,HYPERLINK("https://regentinstruments.com/assets/winscanopy_system.html?utm_source=PriceQuoteXLS",IF(Francais,"Cliquez pour voir les spécifications de nos systèmes", "Click to view our systems specifications")),"")</f>
        <v>Cliquez pour voir les spécifications de nos systèmes</v>
      </c>
      <c r="H15" s="915"/>
      <c r="I15" s="609"/>
      <c r="J15" s="111"/>
    </row>
    <row r="16" spans="1:16" x14ac:dyDescent="0.2">
      <c r="A16" s="922"/>
      <c r="B16" s="601"/>
      <c r="C16" s="7"/>
      <c r="D16" s="1" t="str">
        <f>IF(Francais,
"• Caméra + Calibration Lentille, "&amp;"Manuels &amp; Support technique pour l'acquisition d'image avec WinSCANOPY",
"• Camera + Lens Calibration, "&amp;"Manuals &amp; Technical support for image acquisition for WinSCANOPY")</f>
        <v>• Caméra + Calibration Lentille, Manuels &amp; Support technique pour l'acquisition d'image avec WinSCANOPY</v>
      </c>
      <c r="G16" s="915"/>
      <c r="H16" s="915"/>
      <c r="I16" s="597"/>
    </row>
    <row r="17" spans="1:9" x14ac:dyDescent="0.2">
      <c r="A17" s="922"/>
      <c r="B17" s="601"/>
      <c r="C17" s="10" t="str">
        <f>IF(Francais,"• Caméra","• Camera")</f>
        <v>• Caméra</v>
      </c>
      <c r="D17" s="9" t="str">
        <f>IF(Francais,
"• Documentation, logiciels et accessoires du manufacturier",
"• Manufacturer documentation, software and accessories")</f>
        <v>• Documentation, logiciels et accessoires du manufacturier</v>
      </c>
      <c r="E17" s="9"/>
      <c r="I17" s="597"/>
    </row>
    <row r="18" spans="1:9" x14ac:dyDescent="0.2">
      <c r="A18" s="922"/>
      <c r="B18" s="601"/>
      <c r="C18" s="698" t="str">
        <f>IF(Francais,"   (seulement vendu avec logiciel)","   (sold with software only)")</f>
        <v xml:space="preserve">   (seulement vendu avec logiciel)</v>
      </c>
      <c r="D18" s="9" t="str">
        <f>IF(Francais,
"• 2 Batteries + Chargeur externe USB",
"• 2 Batteries + External USB charger")</f>
        <v>• 2 Batteries + Chargeur externe USB</v>
      </c>
      <c r="E18" s="9"/>
      <c r="I18" s="597"/>
    </row>
    <row r="19" spans="1:9" x14ac:dyDescent="0.2">
      <c r="A19" s="922"/>
      <c r="B19" s="601"/>
      <c r="C19" s="309"/>
      <c r="D19" s="9" t="str">
        <f>IF(Francais,
"• Carte Mémoire 64 GB",
"• 64 Gbytes Memory card")</f>
        <v>• Carte Mémoire 64 GB</v>
      </c>
      <c r="E19" s="9"/>
      <c r="I19" s="597"/>
    </row>
    <row r="20" spans="1:9" x14ac:dyDescent="0.2">
      <c r="B20" s="601"/>
      <c r="C20" s="9"/>
      <c r="D20" s="9" t="str">
        <f>IF(Francais,
IF(SCANOPY_IndexScanner=1,"• Manette (portée de ± 5m tolérante aux obstructions)","• Manette (tolérante aux obstructions)"),
IF(SCANOPY_IndexScanner=1,"• Remote Control (± 5m range, obstructions tolerant)","• Remote Control (obstructions tolerant)"))</f>
        <v>• Manette (portée de ± 5m tolérante aux obstructions)</v>
      </c>
      <c r="E20" s="9"/>
      <c r="I20" s="597"/>
    </row>
    <row r="21" spans="1:9" ht="25.5" customHeight="1" x14ac:dyDescent="0.2">
      <c r="A21" s="912"/>
      <c r="B21" s="601"/>
      <c r="C21" s="699"/>
      <c r="D21" s="371" t="str">
        <f>IF(Francais,"• Mini Trépied et Base à mise à niveau manuelle","• Manual Leveling Base and Mini Tripod")</f>
        <v>• Mini Trépied et Base à mise à niveau manuelle</v>
      </c>
      <c r="E21" s="371"/>
      <c r="I21" s="597"/>
    </row>
    <row r="22" spans="1:9" x14ac:dyDescent="0.2">
      <c r="A22" s="912"/>
      <c r="B22" s="601"/>
      <c r="C22" s="371"/>
      <c r="D22" s="371" t="str">
        <f>IF(Francais,"• Valise de Transport, Étanche à l'eau, Résistante aux impacts","• Carrying Case, Waterproof, Impact Resistant")</f>
        <v>• Valise de Transport, Étanche à l'eau, Résistante aux impacts</v>
      </c>
      <c r="E22" s="371"/>
      <c r="I22" s="597"/>
    </row>
    <row r="23" spans="1:9" x14ac:dyDescent="0.2">
      <c r="A23" s="912"/>
      <c r="B23" s="601"/>
      <c r="C23" s="371"/>
      <c r="D23" s="371"/>
      <c r="E23" s="371"/>
      <c r="I23" s="597"/>
    </row>
    <row r="24" spans="1:9" x14ac:dyDescent="0.2">
      <c r="B24" s="650"/>
      <c r="C24" s="700"/>
      <c r="D24" s="700"/>
      <c r="E24" s="700"/>
      <c r="F24" s="604"/>
      <c r="G24" s="604"/>
      <c r="H24" s="604"/>
      <c r="I24" s="605"/>
    </row>
    <row r="25" spans="1:9" ht="21" x14ac:dyDescent="0.2">
      <c r="F25" s="702"/>
      <c r="G25" s="703" t="str">
        <f>IF(Francais,"SOUS-TOTAL MATÉRIEL:","HARDWARE SUBTOTAL:")</f>
        <v>SOUS-TOTAL MATÉRIEL:</v>
      </c>
      <c r="H25" s="704">
        <f>IF(ISNUMBER(H14),H14,0)</f>
        <v>0</v>
      </c>
      <c r="I25" s="706"/>
    </row>
    <row r="26" spans="1:9" x14ac:dyDescent="0.2"/>
    <row r="27" spans="1:9" ht="28.25" customHeight="1" x14ac:dyDescent="0.3">
      <c r="A27" s="322" t="s">
        <v>174</v>
      </c>
      <c r="B27" s="315"/>
      <c r="C27" s="316"/>
      <c r="D27" s="316"/>
      <c r="E27" s="707" t="str">
        <f>A27 &amp; IF(Francais, " Logiciel et Matériel"," Software &amp; Hardware")</f>
        <v>WinSCANOPY™ Logiciel et Matériel</v>
      </c>
      <c r="F27" s="689"/>
      <c r="G27" s="689" t="s">
        <v>771</v>
      </c>
      <c r="H27" s="690">
        <f>(H4)+IF(ISNUMBER(H14),H14,0)</f>
        <v>0</v>
      </c>
      <c r="I27" s="691"/>
    </row>
    <row r="28" spans="1:9" ht="19" x14ac:dyDescent="0.2">
      <c r="G28" s="720" t="str">
        <f>IF(Francais,"Valide jusqu'au","Valid until")</f>
        <v>Valide jusqu'au</v>
      </c>
      <c r="H28" s="318" t="s">
        <v>795</v>
      </c>
    </row>
    <row r="29" spans="1:9" x14ac:dyDescent="0.2">
      <c r="A29" s="717"/>
      <c r="B29" s="715"/>
      <c r="C29" s="715"/>
      <c r="D29" s="717"/>
      <c r="E29" s="718" t="str">
        <f>HYPERLINK("mailto:sales@regentinstruments.com",IF(Francais,"Pour des questions ou pour placer une commande, contactez: sales@regentinstruments.com","For questions or to place an order contact: sales@regentinstruments.com"))</f>
        <v>Pour des questions ou pour placer une commande, contactez: sales@regentinstruments.com</v>
      </c>
      <c r="F29" s="715"/>
      <c r="G29" s="715"/>
      <c r="H29" s="715"/>
      <c r="I29" s="715"/>
    </row>
    <row r="30" spans="1:9" x14ac:dyDescent="0.2"/>
    <row r="31" spans="1:9" x14ac:dyDescent="0.2"/>
    <row r="32" spans="1:9" x14ac:dyDescent="0.2"/>
    <row r="33" spans="6:8" x14ac:dyDescent="0.2"/>
    <row r="34" spans="6:8" x14ac:dyDescent="0.2"/>
    <row r="35" spans="6:8" x14ac:dyDescent="0.2"/>
    <row r="36" spans="6:8" x14ac:dyDescent="0.2"/>
    <row r="37" spans="6:8" x14ac:dyDescent="0.2"/>
    <row r="38" spans="6:8" x14ac:dyDescent="0.2">
      <c r="F38"/>
      <c r="G38"/>
      <c r="H38"/>
    </row>
  </sheetData>
  <sheetProtection algorithmName="SHA-512" hashValue="6WWrtcCzHMZ75Cn4ZoW8aZke7m/s0I0sP1dnXKmpUKJl+AXoT8O/UjaanMavoN8Irc03cvN+s04z9NH01LT3EA==" saltValue="yV7MyCY94d8nFSM9rVJ0nw==" spinCount="100000" sheet="1" objects="1" scenarios="1" selectLockedCells="1"/>
  <mergeCells count="8">
    <mergeCell ref="A21:A23"/>
    <mergeCell ref="A14:A19"/>
    <mergeCell ref="J1:J7"/>
    <mergeCell ref="J10:J13"/>
    <mergeCell ref="D14:E14"/>
    <mergeCell ref="G15:H16"/>
    <mergeCell ref="F8:I8"/>
    <mergeCell ref="A2:A12"/>
  </mergeCells>
  <conditionalFormatting sqref="G5:G6">
    <cfRule type="expression" dxfId="36" priority="69">
      <formula>IF(N("Si Downgrade prix=0 else Prix")+OR( IF(N("Si on downgrade model")+SCANOPY_IndexModelSoftware&lt;SCANOPY_IndexModelClient,1,0), IF(N("Si on downgrade de 64bits à 32bits")+AND(SCANOPY_IndexClientVersion&gt;SCANOPY_UpgradeNModels,SCANOPY_IndexSoftware&lt;=SCANOPY_UpgradeNModels),1,0) ),1,0)</formula>
    </cfRule>
  </conditionalFormatting>
  <conditionalFormatting sqref="H27 H11 G4:G6 H25 G14">
    <cfRule type="expression" dxfId="35" priority="70">
      <formula>OR(IndexZone=5)</formula>
    </cfRule>
    <cfRule type="expression" dxfId="34" priority="71">
      <formula>OR(IndexZone=3, IndexZone=8, IndexZone=10)</formula>
    </cfRule>
  </conditionalFormatting>
  <conditionalFormatting sqref="D7:D8">
    <cfRule type="expression" dxfId="33" priority="31">
      <formula>NOT(Checkbox_Descriptions)</formula>
    </cfRule>
  </conditionalFormatting>
  <conditionalFormatting sqref="A14">
    <cfRule type="expression" dxfId="32" priority="19">
      <formula>NOT(Checkbox_Instructions)</formula>
    </cfRule>
  </conditionalFormatting>
  <conditionalFormatting sqref="H14">
    <cfRule type="expression" dxfId="31" priority="18">
      <formula>ISTEXT($H$14)</formula>
    </cfRule>
  </conditionalFormatting>
  <conditionalFormatting sqref="J1">
    <cfRule type="expression" dxfId="30" priority="9">
      <formula>NOT(Checkbox_Instructions)</formula>
    </cfRule>
  </conditionalFormatting>
  <conditionalFormatting sqref="F5:G6">
    <cfRule type="expression" dxfId="29" priority="8">
      <formula>IF(SCANOPY_ChkBox_UpgradeUpdate,0,1)</formula>
    </cfRule>
  </conditionalFormatting>
  <conditionalFormatting sqref="A21">
    <cfRule type="expression" dxfId="28" priority="3">
      <formula>NOT(Checkbox_Instructions)</formula>
    </cfRule>
  </conditionalFormatting>
  <conditionalFormatting sqref="A2">
    <cfRule type="expression" dxfId="27" priority="1">
      <formula>NOT(Checkbox_Instructions)</formula>
    </cfRule>
  </conditionalFormatting>
  <dataValidations disablePrompts="1" count="1">
    <dataValidation type="custom" allowBlank="1" showInputMessage="1" showErrorMessage="1" sqref="G15:H16 F8" xr:uid="{00000000-0002-0000-0A00-000000000000}">
      <formula1>"&lt;0&gt;0"</formula1>
    </dataValidation>
  </dataValidations>
  <pageMargins left="0.7" right="0.7" top="0.75" bottom="0.75" header="0.3" footer="0.3"/>
  <pageSetup scale="53" orientation="landscape"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93185" r:id="rId4" name="CheckBoxDetails">
              <controlPr defaultSize="0" autoFill="0" autoLine="0" autoPict="0">
                <anchor moveWithCells="1" sizeWithCells="1">
                  <from>
                    <xdr:col>5</xdr:col>
                    <xdr:colOff>25400</xdr:colOff>
                    <xdr:row>0</xdr:row>
                    <xdr:rowOff>25400</xdr:rowOff>
                  </from>
                  <to>
                    <xdr:col>5</xdr:col>
                    <xdr:colOff>1092200</xdr:colOff>
                    <xdr:row>0</xdr:row>
                    <xdr:rowOff>228600</xdr:rowOff>
                  </to>
                </anchor>
              </controlPr>
            </control>
          </mc:Choice>
        </mc:AlternateContent>
        <mc:AlternateContent xmlns:mc="http://schemas.openxmlformats.org/markup-compatibility/2006">
          <mc:Choice Requires="x14">
            <control shapeId="93198" r:id="rId5" name="Drop Down 14">
              <controlPr defaultSize="0" autoLine="0" autoPict="0">
                <anchor moveWithCells="1">
                  <from>
                    <xdr:col>4</xdr:col>
                    <xdr:colOff>76200</xdr:colOff>
                    <xdr:row>2</xdr:row>
                    <xdr:rowOff>215900</xdr:rowOff>
                  </from>
                  <to>
                    <xdr:col>4</xdr:col>
                    <xdr:colOff>3136900</xdr:colOff>
                    <xdr:row>4</xdr:row>
                    <xdr:rowOff>12700</xdr:rowOff>
                  </to>
                </anchor>
              </controlPr>
            </control>
          </mc:Choice>
        </mc:AlternateContent>
        <mc:AlternateContent xmlns:mc="http://schemas.openxmlformats.org/markup-compatibility/2006">
          <mc:Choice Requires="x14">
            <control shapeId="93202" r:id="rId6" name="Drop Down 18">
              <controlPr defaultSize="0" autoLine="0" autoPict="0">
                <anchor moveWithCells="1" sizeWithCells="1">
                  <from>
                    <xdr:col>1</xdr:col>
                    <xdr:colOff>0</xdr:colOff>
                    <xdr:row>13</xdr:row>
                    <xdr:rowOff>101600</xdr:rowOff>
                  </from>
                  <to>
                    <xdr:col>2</xdr:col>
                    <xdr:colOff>25400</xdr:colOff>
                    <xdr:row>13</xdr:row>
                    <xdr:rowOff>292100</xdr:rowOff>
                  </to>
                </anchor>
              </controlPr>
            </control>
          </mc:Choice>
        </mc:AlternateContent>
        <mc:AlternateContent xmlns:mc="http://schemas.openxmlformats.org/markup-compatibility/2006">
          <mc:Choice Requires="x14">
            <control shapeId="93206" r:id="rId7" name="Drop Down 22">
              <controlPr defaultSize="0" autoLine="0" autoPict="0">
                <anchor moveWithCells="1" sizeWithCells="1">
                  <from>
                    <xdr:col>9</xdr:col>
                    <xdr:colOff>114300</xdr:colOff>
                    <xdr:row>8</xdr:row>
                    <xdr:rowOff>12700</xdr:rowOff>
                  </from>
                  <to>
                    <xdr:col>9</xdr:col>
                    <xdr:colOff>863600</xdr:colOff>
                    <xdr:row>8</xdr:row>
                    <xdr:rowOff>203200</xdr:rowOff>
                  </to>
                </anchor>
              </controlPr>
            </control>
          </mc:Choice>
        </mc:AlternateContent>
        <mc:AlternateContent xmlns:mc="http://schemas.openxmlformats.org/markup-compatibility/2006">
          <mc:Choice Requires="x14">
            <control shapeId="93210" r:id="rId8" name="DropDown_IndexScanner">
              <controlPr defaultSize="0" autoLine="0" autoPict="0">
                <anchor moveWithCells="1" sizeWithCells="1">
                  <from>
                    <xdr:col>2</xdr:col>
                    <xdr:colOff>736600</xdr:colOff>
                    <xdr:row>16</xdr:row>
                    <xdr:rowOff>0</xdr:rowOff>
                  </from>
                  <to>
                    <xdr:col>2</xdr:col>
                    <xdr:colOff>2006600</xdr:colOff>
                    <xdr:row>17</xdr:row>
                    <xdr:rowOff>25400</xdr:rowOff>
                  </to>
                </anchor>
              </controlPr>
            </control>
          </mc:Choice>
        </mc:AlternateContent>
        <mc:AlternateContent xmlns:mc="http://schemas.openxmlformats.org/markup-compatibility/2006">
          <mc:Choice Requires="x14">
            <control shapeId="93224" r:id="rId9" name="DropDown_N_SoftwareOrUpg">
              <controlPr defaultSize="0" autoLine="0" autoPict="0">
                <anchor moveWithCells="1">
                  <from>
                    <xdr:col>1</xdr:col>
                    <xdr:colOff>0</xdr:colOff>
                    <xdr:row>3</xdr:row>
                    <xdr:rowOff>25400</xdr:rowOff>
                  </from>
                  <to>
                    <xdr:col>2</xdr:col>
                    <xdr:colOff>25400</xdr:colOff>
                    <xdr:row>3</xdr:row>
                    <xdr:rowOff>215900</xdr:rowOff>
                  </to>
                </anchor>
              </controlPr>
            </control>
          </mc:Choice>
        </mc:AlternateContent>
        <mc:AlternateContent xmlns:mc="http://schemas.openxmlformats.org/markup-compatibility/2006">
          <mc:Choice Requires="x14">
            <control shapeId="93203" r:id="rId10" name="DropDown_IndexClientVersion">
              <controlPr defaultSize="0" autoLine="0" autoPict="0">
                <anchor moveWithCells="1" sizeWithCells="1">
                  <from>
                    <xdr:col>4</xdr:col>
                    <xdr:colOff>76200</xdr:colOff>
                    <xdr:row>4</xdr:row>
                    <xdr:rowOff>0</xdr:rowOff>
                  </from>
                  <to>
                    <xdr:col>4</xdr:col>
                    <xdr:colOff>1473200</xdr:colOff>
                    <xdr:row>4</xdr:row>
                    <xdr:rowOff>203200</xdr:rowOff>
                  </to>
                </anchor>
              </controlPr>
            </control>
          </mc:Choice>
        </mc:AlternateContent>
        <mc:AlternateContent xmlns:mc="http://schemas.openxmlformats.org/markup-compatibility/2006">
          <mc:Choice Requires="x14">
            <control shapeId="93223" r:id="rId11" name="ChkB_UpgradeUpdate">
              <controlPr defaultSize="0" autoFill="0" autoLine="0" autoPict="0">
                <anchor moveWithCells="1" sizeWithCells="1">
                  <from>
                    <xdr:col>2</xdr:col>
                    <xdr:colOff>88900</xdr:colOff>
                    <xdr:row>4</xdr:row>
                    <xdr:rowOff>12700</xdr:rowOff>
                  </from>
                  <to>
                    <xdr:col>2</xdr:col>
                    <xdr:colOff>2984500</xdr:colOff>
                    <xdr:row>4</xdr:row>
                    <xdr:rowOff>215900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autoPageBreaks="0"/>
  </sheetPr>
  <dimension ref="A2:AJ430"/>
  <sheetViews>
    <sheetView showGridLines="0" topLeftCell="L211" zoomScaleNormal="100" workbookViewId="0">
      <selection activeCell="C122" sqref="C122"/>
    </sheetView>
  </sheetViews>
  <sheetFormatPr baseColWidth="10" defaultColWidth="8.6640625" defaultRowHeight="16" x14ac:dyDescent="0.2"/>
  <cols>
    <col min="1" max="1" width="1.1640625" style="22" customWidth="1"/>
    <col min="2" max="2" width="46.6640625" style="22" bestFit="1" customWidth="1"/>
    <col min="3" max="11" width="28.5" style="30" customWidth="1"/>
    <col min="12" max="13" width="8.6640625" style="22" customWidth="1"/>
    <col min="14" max="14" width="16" style="22" customWidth="1"/>
    <col min="15" max="15" width="27.1640625" style="22" customWidth="1"/>
    <col min="16" max="16" width="34.6640625" style="22" customWidth="1"/>
    <col min="17" max="17" width="31.1640625" style="22" customWidth="1"/>
    <col min="18" max="18" width="32.6640625" style="22" customWidth="1"/>
    <col min="19" max="19" width="37.5" style="22" customWidth="1"/>
    <col min="20" max="20" width="32.5" style="22" customWidth="1"/>
    <col min="21" max="21" width="33.5" style="22" customWidth="1"/>
    <col min="22" max="22" width="31.1640625" style="22" customWidth="1"/>
    <col min="23" max="23" width="35.1640625" style="22" customWidth="1"/>
    <col min="24" max="24" width="32.1640625" style="22" customWidth="1"/>
    <col min="25" max="25" width="8.6640625" style="22" customWidth="1"/>
    <col min="26" max="26" width="8.6640625" style="22"/>
    <col min="27" max="27" width="10.6640625"/>
    <col min="28" max="28" width="15.6640625" bestFit="1" customWidth="1"/>
    <col min="29" max="29" width="2.6640625" customWidth="1"/>
    <col min="30" max="30" width="21.1640625" bestFit="1" customWidth="1"/>
    <col min="31" max="31" width="2.6640625" customWidth="1"/>
    <col min="32" max="32" width="32.1640625" bestFit="1" customWidth="1"/>
    <col min="33" max="36" width="8.6640625" style="22"/>
  </cols>
  <sheetData>
    <row r="2" spans="1:24" ht="15.75" customHeight="1" x14ac:dyDescent="0.2">
      <c r="B2" s="18"/>
      <c r="C2" s="19"/>
      <c r="D2" s="19"/>
      <c r="E2" s="20"/>
      <c r="F2" s="20"/>
      <c r="G2" s="20"/>
      <c r="H2" s="20"/>
      <c r="I2" s="20"/>
      <c r="J2" s="20"/>
      <c r="K2" s="20"/>
      <c r="L2" s="21"/>
      <c r="M2" s="21"/>
    </row>
    <row r="3" spans="1:24" x14ac:dyDescent="0.2">
      <c r="B3" s="23" t="s">
        <v>244</v>
      </c>
      <c r="C3" s="24" t="s">
        <v>7</v>
      </c>
      <c r="D3" s="24" t="s">
        <v>789</v>
      </c>
      <c r="E3" s="24" t="s">
        <v>907</v>
      </c>
      <c r="F3" s="24" t="s">
        <v>908</v>
      </c>
      <c r="G3" s="24" t="s">
        <v>909</v>
      </c>
      <c r="H3" s="24" t="s">
        <v>910</v>
      </c>
      <c r="I3" s="24" t="s">
        <v>911</v>
      </c>
      <c r="J3" s="24" t="s">
        <v>912</v>
      </c>
      <c r="K3" s="24" t="s">
        <v>913</v>
      </c>
      <c r="L3" s="23" t="s">
        <v>914</v>
      </c>
      <c r="M3" s="23" t="s">
        <v>915</v>
      </c>
      <c r="N3" s="23" t="s">
        <v>916</v>
      </c>
      <c r="O3" s="23" t="s">
        <v>917</v>
      </c>
      <c r="P3" s="23" t="s">
        <v>918</v>
      </c>
      <c r="Q3" s="23"/>
    </row>
    <row r="4" spans="1:24" x14ac:dyDescent="0.2">
      <c r="B4" s="25"/>
      <c r="C4" s="26">
        <v>1</v>
      </c>
      <c r="D4" s="26"/>
      <c r="E4" s="26">
        <v>1</v>
      </c>
      <c r="F4" s="26"/>
      <c r="G4" s="26">
        <v>1</v>
      </c>
      <c r="H4" s="26">
        <v>1</v>
      </c>
      <c r="I4" s="26">
        <v>1</v>
      </c>
      <c r="J4" s="26">
        <v>1</v>
      </c>
      <c r="K4" s="26"/>
      <c r="L4" s="33"/>
      <c r="M4" s="33"/>
      <c r="N4" s="33"/>
      <c r="O4" s="29"/>
      <c r="P4" s="33"/>
      <c r="Q4" s="33"/>
    </row>
    <row r="5" spans="1:24" x14ac:dyDescent="0.2">
      <c r="B5" s="27"/>
      <c r="C5" s="28">
        <v>2</v>
      </c>
      <c r="D5" s="28">
        <v>2</v>
      </c>
      <c r="E5" s="28">
        <v>2</v>
      </c>
      <c r="F5" s="28">
        <v>2</v>
      </c>
      <c r="G5" s="28">
        <v>2</v>
      </c>
      <c r="H5" s="28">
        <v>2</v>
      </c>
      <c r="I5" s="28">
        <v>2</v>
      </c>
      <c r="J5" s="28">
        <v>2</v>
      </c>
      <c r="K5" s="28"/>
      <c r="L5" s="33"/>
      <c r="M5" s="33"/>
      <c r="N5" s="33"/>
      <c r="O5" s="29"/>
      <c r="P5" s="33"/>
      <c r="Q5" s="33"/>
    </row>
    <row r="6" spans="1:24" x14ac:dyDescent="0.2">
      <c r="A6" s="67"/>
      <c r="B6" s="64"/>
      <c r="C6" s="345" t="b">
        <v>1</v>
      </c>
      <c r="D6" s="345" t="b">
        <v>1</v>
      </c>
      <c r="E6" s="345" t="b">
        <v>1</v>
      </c>
      <c r="F6" s="345" t="b">
        <v>1</v>
      </c>
      <c r="G6" s="345" t="b">
        <v>1</v>
      </c>
      <c r="H6" s="345" t="b">
        <v>1</v>
      </c>
      <c r="I6" s="345"/>
      <c r="J6" s="345" t="b">
        <v>1</v>
      </c>
      <c r="K6" s="65"/>
      <c r="L6" s="66"/>
      <c r="M6" s="66"/>
      <c r="N6" s="66"/>
      <c r="O6" s="17"/>
      <c r="P6" s="33"/>
      <c r="Q6" s="33"/>
      <c r="R6"/>
      <c r="S6"/>
      <c r="T6"/>
      <c r="X6"/>
    </row>
    <row r="7" spans="1:24" x14ac:dyDescent="0.2">
      <c r="A7" s="67"/>
      <c r="B7" s="64"/>
      <c r="C7" s="65">
        <v>1</v>
      </c>
      <c r="D7" s="65"/>
      <c r="E7" s="65"/>
      <c r="F7" s="65"/>
      <c r="G7" s="65">
        <v>1</v>
      </c>
      <c r="H7" s="65"/>
      <c r="I7" s="65">
        <v>1</v>
      </c>
      <c r="J7" s="65"/>
      <c r="K7" s="65"/>
      <c r="L7" s="66"/>
      <c r="M7" s="66"/>
      <c r="N7" s="66"/>
      <c r="O7" s="17"/>
      <c r="P7" s="33"/>
      <c r="Q7" s="33"/>
      <c r="R7"/>
      <c r="S7"/>
      <c r="T7"/>
      <c r="X7"/>
    </row>
    <row r="8" spans="1:24" x14ac:dyDescent="0.2">
      <c r="B8" s="25"/>
      <c r="C8" s="29"/>
      <c r="D8" s="26"/>
      <c r="E8" s="28"/>
      <c r="F8" s="26"/>
      <c r="G8" s="28"/>
      <c r="H8" s="26"/>
      <c r="I8" s="28"/>
      <c r="J8" s="26"/>
      <c r="K8" s="28"/>
      <c r="L8" s="33"/>
      <c r="M8" s="33"/>
      <c r="N8" s="33"/>
      <c r="O8" s="17"/>
      <c r="P8" s="33"/>
      <c r="Q8" s="33"/>
      <c r="R8"/>
      <c r="S8"/>
      <c r="T8"/>
      <c r="X8"/>
    </row>
    <row r="9" spans="1:24" x14ac:dyDescent="0.2">
      <c r="B9" s="25"/>
      <c r="C9" s="29">
        <f>IF(C$36=0,0,(C$36-1)*IF(C$4=1,1,0))</f>
        <v>0</v>
      </c>
      <c r="D9" s="29">
        <f t="shared" ref="D9:J9" si="0">IF(D$36=0,0,(D$36-1)*IF(D$4=1,1,0))</f>
        <v>0</v>
      </c>
      <c r="E9" s="29">
        <f t="shared" si="0"/>
        <v>0</v>
      </c>
      <c r="F9" s="29">
        <f t="shared" si="0"/>
        <v>0</v>
      </c>
      <c r="G9" s="29">
        <f t="shared" si="0"/>
        <v>0</v>
      </c>
      <c r="H9" s="29">
        <f t="shared" si="0"/>
        <v>0</v>
      </c>
      <c r="I9" s="29">
        <f t="shared" si="0"/>
        <v>0</v>
      </c>
      <c r="J9" s="29">
        <f t="shared" si="0"/>
        <v>0</v>
      </c>
      <c r="K9" s="26">
        <f>SUM(TableClientButtons[[#This Row],[Column2]:[Column8]])</f>
        <v>0</v>
      </c>
      <c r="L9" s="33" t="s">
        <v>253</v>
      </c>
      <c r="M9" s="33"/>
      <c r="N9" s="33"/>
      <c r="O9" s="17"/>
      <c r="P9" s="33"/>
      <c r="Q9" s="33"/>
      <c r="R9"/>
      <c r="S9"/>
      <c r="T9"/>
      <c r="X9"/>
    </row>
    <row r="10" spans="1:24" x14ac:dyDescent="0.2">
      <c r="B10" s="25"/>
      <c r="C10" s="29">
        <f>IF(C$36=0,0,(C$36-1)*IF(C$4=2,1,0))</f>
        <v>0</v>
      </c>
      <c r="D10" s="29">
        <f t="shared" ref="D10:J10" si="1">IF(D$36=0,0,(D$36-1)*IF(D$4=2,1,0))</f>
        <v>0</v>
      </c>
      <c r="E10" s="29">
        <f t="shared" si="1"/>
        <v>0</v>
      </c>
      <c r="F10" s="29">
        <f t="shared" si="1"/>
        <v>0</v>
      </c>
      <c r="G10" s="29">
        <f t="shared" si="1"/>
        <v>0</v>
      </c>
      <c r="H10" s="29">
        <f t="shared" si="1"/>
        <v>0</v>
      </c>
      <c r="I10" s="29">
        <f t="shared" si="1"/>
        <v>0</v>
      </c>
      <c r="J10" s="29">
        <f t="shared" si="1"/>
        <v>0</v>
      </c>
      <c r="K10" s="26">
        <f>SUM(TableClientButtons[[#This Row],[Column2]:[Column8]])</f>
        <v>0</v>
      </c>
      <c r="L10" s="376" t="str">
        <f>IF(AND(K9&gt;K10,K9&gt;K11),
"STD",IF(AND(K10&gt;K9,K10&gt;K11),
"LA",IF(AND(K11&gt;K9,K11&gt;K10),
"LC","Scan.")))</f>
        <v>Scan.</v>
      </c>
      <c r="M10" s="33"/>
      <c r="N10" s="33"/>
      <c r="O10" s="17"/>
      <c r="P10" s="33"/>
      <c r="Q10" s="33"/>
      <c r="R10"/>
      <c r="S10"/>
      <c r="T10"/>
      <c r="X10"/>
    </row>
    <row r="11" spans="1:24" x14ac:dyDescent="0.2">
      <c r="B11" s="27"/>
      <c r="C11" s="29"/>
      <c r="D11" s="28"/>
      <c r="E11" s="28"/>
      <c r="F11" s="28"/>
      <c r="G11" s="29">
        <f>IF(G$36=0,0,(G$36-1)*IF(G$4=3,1,0))</f>
        <v>0</v>
      </c>
      <c r="H11" s="28"/>
      <c r="I11" s="29">
        <f>IF(I$36=0,0,(I$36-1)*IF(I$4=3,1,0))</f>
        <v>0</v>
      </c>
      <c r="J11" s="28"/>
      <c r="K11" s="26">
        <f>SUM(TableClientButtons[[#This Row],[Column2]:[Column8]])</f>
        <v>0</v>
      </c>
      <c r="L11" s="33"/>
      <c r="M11" s="33"/>
      <c r="N11" s="33"/>
      <c r="O11" s="17"/>
      <c r="P11" s="33"/>
      <c r="Q11" s="33"/>
      <c r="R11"/>
      <c r="S11"/>
      <c r="T11"/>
      <c r="X11"/>
    </row>
    <row r="12" spans="1:24" x14ac:dyDescent="0.2">
      <c r="B12" s="25"/>
      <c r="C12" s="29"/>
      <c r="D12" s="26"/>
      <c r="E12" s="29"/>
      <c r="F12" s="26"/>
      <c r="G12" s="29"/>
      <c r="H12" s="26"/>
      <c r="I12" s="29"/>
      <c r="J12" s="26"/>
      <c r="K12" s="29"/>
      <c r="L12" s="33"/>
      <c r="M12" s="33" t="s">
        <v>251</v>
      </c>
      <c r="N12" s="33" t="s">
        <v>252</v>
      </c>
      <c r="O12" s="17"/>
      <c r="P12" s="33"/>
      <c r="Q12" s="33"/>
      <c r="R12"/>
      <c r="S12"/>
      <c r="T12"/>
      <c r="X12"/>
    </row>
    <row r="13" spans="1:24" x14ac:dyDescent="0.2">
      <c r="A13" s="67"/>
      <c r="B13" s="64"/>
      <c r="C13" s="28">
        <v>1</v>
      </c>
      <c r="D13" s="28"/>
      <c r="E13" s="65">
        <v>1</v>
      </c>
      <c r="F13" s="28"/>
      <c r="G13" s="28">
        <v>1</v>
      </c>
      <c r="H13" s="65">
        <v>1</v>
      </c>
      <c r="I13" s="28">
        <v>1</v>
      </c>
      <c r="J13" s="345" t="b">
        <v>1</v>
      </c>
      <c r="K13" s="65"/>
      <c r="L13" s="66"/>
      <c r="M13" s="66">
        <f>(E13-1)+(H13-1)</f>
        <v>0</v>
      </c>
      <c r="N13" s="373">
        <f>IF(OR(N17&gt;0,N21&gt;0,N14&gt;0),M13,MAX((M17+M21+M14+M13)-N23-N22-N21-N17-N14,0))</f>
        <v>0</v>
      </c>
      <c r="O13" s="17"/>
      <c r="P13" s="33"/>
      <c r="Q13" s="33"/>
      <c r="R13"/>
      <c r="S13"/>
      <c r="T13"/>
      <c r="X13"/>
    </row>
    <row r="14" spans="1:24" x14ac:dyDescent="0.2">
      <c r="A14" s="67"/>
      <c r="B14" s="64"/>
      <c r="C14" s="26">
        <v>1</v>
      </c>
      <c r="D14" s="28"/>
      <c r="E14" s="65">
        <v>1</v>
      </c>
      <c r="F14" s="28"/>
      <c r="G14" s="65">
        <v>1</v>
      </c>
      <c r="H14" s="65">
        <v>1</v>
      </c>
      <c r="I14" s="65">
        <v>1</v>
      </c>
      <c r="J14" s="28" t="b">
        <v>0</v>
      </c>
      <c r="K14" s="65"/>
      <c r="L14" s="66"/>
      <c r="M14" s="66">
        <f t="shared" ref="M14:M23" si="2">(E14-1)+(H14-1)</f>
        <v>0</v>
      </c>
      <c r="N14" s="373">
        <f>IF(OR(N17&gt;0,N21&gt;0),M14,MAX((M17+M21+M14)-N22-N23-N21-N17,0))</f>
        <v>0</v>
      </c>
      <c r="O14" s="17"/>
      <c r="P14" s="33"/>
      <c r="Q14" s="33"/>
      <c r="R14"/>
      <c r="S14"/>
      <c r="T14"/>
      <c r="X14"/>
    </row>
    <row r="15" spans="1:24" x14ac:dyDescent="0.2">
      <c r="A15" s="67"/>
      <c r="B15" s="68"/>
      <c r="C15" s="26">
        <v>1</v>
      </c>
      <c r="D15" s="26"/>
      <c r="E15" s="65">
        <v>1</v>
      </c>
      <c r="F15" s="26"/>
      <c r="G15" s="65">
        <v>1</v>
      </c>
      <c r="H15" s="69">
        <v>1</v>
      </c>
      <c r="I15" s="65">
        <v>1</v>
      </c>
      <c r="J15" s="26" t="b">
        <v>1</v>
      </c>
      <c r="K15" s="65"/>
      <c r="L15" s="66"/>
      <c r="M15" s="66">
        <f t="shared" si="2"/>
        <v>0</v>
      </c>
      <c r="N15" s="67">
        <f>MAX(M15-N22-N23-N21-N17-N16-N13,0)</f>
        <v>0</v>
      </c>
      <c r="O15" s="17"/>
      <c r="P15" s="33"/>
      <c r="Q15" s="33"/>
      <c r="R15"/>
      <c r="S15"/>
      <c r="T15"/>
      <c r="X15"/>
    </row>
    <row r="16" spans="1:24" x14ac:dyDescent="0.2">
      <c r="A16" s="67"/>
      <c r="B16" s="68"/>
      <c r="C16" s="28">
        <v>1</v>
      </c>
      <c r="D16" s="26"/>
      <c r="E16" s="69">
        <v>1</v>
      </c>
      <c r="F16" s="26"/>
      <c r="G16" s="69">
        <v>1</v>
      </c>
      <c r="H16" s="69">
        <v>1</v>
      </c>
      <c r="I16" s="69">
        <v>1</v>
      </c>
      <c r="J16" s="26" t="b">
        <v>0</v>
      </c>
      <c r="K16" s="69"/>
      <c r="L16" s="66"/>
      <c r="M16" s="66">
        <f t="shared" si="2"/>
        <v>0</v>
      </c>
      <c r="N16" s="67">
        <f>MAX(M16-N22-N23-N21-N17,0)</f>
        <v>0</v>
      </c>
      <c r="O16" s="17"/>
      <c r="P16" s="33"/>
      <c r="Q16" s="33"/>
      <c r="R16"/>
      <c r="S16"/>
      <c r="T16"/>
      <c r="X16"/>
    </row>
    <row r="17" spans="2:24" x14ac:dyDescent="0.2">
      <c r="B17" s="25"/>
      <c r="C17" s="26">
        <v>1</v>
      </c>
      <c r="D17" s="26"/>
      <c r="E17" s="69">
        <v>1</v>
      </c>
      <c r="F17" s="26"/>
      <c r="G17" s="26"/>
      <c r="H17" s="69">
        <v>1</v>
      </c>
      <c r="I17" s="26"/>
      <c r="J17" s="26"/>
      <c r="K17" s="26"/>
      <c r="L17" s="33"/>
      <c r="M17" s="66">
        <f t="shared" si="2"/>
        <v>0</v>
      </c>
      <c r="N17" s="373">
        <f>IF(SUM(M21,M17)&gt;M23+M22,SUM(M21,M17)-M23-M22-N21,MAX((M17+M21)-N22-N23,0))</f>
        <v>0</v>
      </c>
      <c r="O17" s="17"/>
      <c r="P17" s="33"/>
      <c r="Q17" s="33"/>
      <c r="R17"/>
      <c r="S17"/>
      <c r="T17"/>
      <c r="X17"/>
    </row>
    <row r="18" spans="2:24" x14ac:dyDescent="0.2">
      <c r="B18" s="27"/>
      <c r="C18" s="28"/>
      <c r="D18" s="28"/>
      <c r="E18" s="65">
        <v>1</v>
      </c>
      <c r="F18" s="28"/>
      <c r="G18" s="28"/>
      <c r="H18" s="65">
        <v>1</v>
      </c>
      <c r="I18" s="28"/>
      <c r="J18" s="28"/>
      <c r="K18" s="28"/>
      <c r="L18" s="33"/>
      <c r="M18" s="66">
        <f t="shared" si="2"/>
        <v>0</v>
      </c>
      <c r="N18" s="22">
        <f>M18</f>
        <v>0</v>
      </c>
      <c r="O18" s="17"/>
      <c r="P18" s="33"/>
      <c r="Q18" s="33"/>
      <c r="R18"/>
      <c r="S18"/>
      <c r="T18"/>
      <c r="X18"/>
    </row>
    <row r="19" spans="2:24" x14ac:dyDescent="0.2">
      <c r="B19" s="25"/>
      <c r="C19" s="29"/>
      <c r="D19" s="26"/>
      <c r="E19" s="70">
        <v>1</v>
      </c>
      <c r="F19" s="26"/>
      <c r="G19" s="29"/>
      <c r="H19" s="69">
        <v>1</v>
      </c>
      <c r="I19" s="29"/>
      <c r="J19" s="26"/>
      <c r="K19" s="29"/>
      <c r="L19" s="33"/>
      <c r="M19" s="66">
        <f t="shared" si="2"/>
        <v>0</v>
      </c>
      <c r="N19" s="22">
        <f>M19</f>
        <v>0</v>
      </c>
      <c r="O19" s="17"/>
      <c r="P19" s="33"/>
      <c r="Q19" s="33"/>
      <c r="R19"/>
      <c r="S19"/>
      <c r="T19"/>
      <c r="X19"/>
    </row>
    <row r="20" spans="2:24" x14ac:dyDescent="0.2">
      <c r="B20" s="27"/>
      <c r="C20" s="29"/>
      <c r="D20" s="26"/>
      <c r="E20" s="70">
        <v>1</v>
      </c>
      <c r="F20" s="26"/>
      <c r="G20" s="29"/>
      <c r="H20" s="69">
        <v>1</v>
      </c>
      <c r="I20" s="29"/>
      <c r="J20" s="26"/>
      <c r="K20" s="29"/>
      <c r="L20" s="33"/>
      <c r="M20" s="66">
        <f t="shared" si="2"/>
        <v>0</v>
      </c>
      <c r="N20" s="22">
        <f>M20</f>
        <v>0</v>
      </c>
      <c r="O20" s="17"/>
      <c r="P20" s="33"/>
      <c r="Q20" s="33"/>
      <c r="R20"/>
      <c r="S20"/>
      <c r="T20"/>
      <c r="X20"/>
    </row>
    <row r="21" spans="2:24" x14ac:dyDescent="0.2">
      <c r="B21" s="25"/>
      <c r="C21" s="29"/>
      <c r="D21" s="26"/>
      <c r="E21" s="70">
        <v>1</v>
      </c>
      <c r="F21" s="26"/>
      <c r="G21" s="29"/>
      <c r="H21" s="69">
        <v>1</v>
      </c>
      <c r="I21" s="29"/>
      <c r="J21" s="26"/>
      <c r="K21" s="29"/>
      <c r="L21" s="33"/>
      <c r="M21" s="66">
        <f t="shared" si="2"/>
        <v>0</v>
      </c>
      <c r="N21" s="22">
        <f>MAX(M21-M22-M23,0)</f>
        <v>0</v>
      </c>
      <c r="O21" s="17"/>
      <c r="P21" s="33"/>
      <c r="Q21" s="33"/>
      <c r="R21"/>
      <c r="S21"/>
      <c r="T21"/>
      <c r="X21"/>
    </row>
    <row r="22" spans="2:24" x14ac:dyDescent="0.2">
      <c r="B22" s="27"/>
      <c r="C22" s="29"/>
      <c r="D22" s="26"/>
      <c r="E22" s="70">
        <v>1</v>
      </c>
      <c r="F22" s="26"/>
      <c r="G22" s="29"/>
      <c r="H22" s="69">
        <v>1</v>
      </c>
      <c r="I22" s="29"/>
      <c r="J22" s="26"/>
      <c r="K22" s="29"/>
      <c r="L22" s="33"/>
      <c r="M22" s="66">
        <f t="shared" si="2"/>
        <v>0</v>
      </c>
      <c r="N22" s="22">
        <f>MAX(M22-M23,0)</f>
        <v>0</v>
      </c>
      <c r="O22" s="17"/>
      <c r="P22" s="33"/>
      <c r="Q22" s="33"/>
      <c r="R22"/>
      <c r="S22"/>
      <c r="T22"/>
      <c r="X22"/>
    </row>
    <row r="23" spans="2:24" x14ac:dyDescent="0.2">
      <c r="B23" s="25"/>
      <c r="C23" s="29"/>
      <c r="D23" s="26"/>
      <c r="E23" s="70">
        <v>1</v>
      </c>
      <c r="F23" s="26"/>
      <c r="G23" s="29"/>
      <c r="H23" s="69">
        <v>1</v>
      </c>
      <c r="I23" s="29"/>
      <c r="J23" s="26"/>
      <c r="K23" s="29"/>
      <c r="L23" s="33"/>
      <c r="M23" s="66">
        <f t="shared" si="2"/>
        <v>0</v>
      </c>
      <c r="N23" s="22">
        <f>M23</f>
        <v>0</v>
      </c>
      <c r="O23" s="17"/>
      <c r="P23" s="33"/>
      <c r="Q23" s="33"/>
      <c r="R23"/>
      <c r="S23"/>
      <c r="T23"/>
      <c r="X23"/>
    </row>
    <row r="24" spans="2:24" x14ac:dyDescent="0.2">
      <c r="B24" s="25"/>
      <c r="C24" s="29"/>
      <c r="D24" s="26"/>
      <c r="E24" s="356">
        <f>SUM(E15,E16,E17,E21,E22,E23)-6 + (SUM(E13,E18)-2)*2 + (SUM(RHIZO_Option2,RHIZO_Option7)-2)*3 + (RHIZO_Option8-1)*5</f>
        <v>0</v>
      </c>
      <c r="F24" s="26"/>
      <c r="G24" s="29"/>
      <c r="H24" s="357">
        <f>SUM(H15,H16,H17,H21,H22,H23)-6 + (SUM(H13,H18)-2)*2 + (SUM(SEEDLE_Option2,SEEDLE_Option7)-2)*3 + (SEEDLE_Option8-1)*5</f>
        <v>0</v>
      </c>
      <c r="I24" s="29"/>
      <c r="J24" s="26"/>
      <c r="K24" s="29"/>
      <c r="L24" s="33"/>
      <c r="M24" s="33"/>
      <c r="N24" s="33"/>
      <c r="O24" s="17"/>
      <c r="P24" s="33"/>
      <c r="Q24" s="33"/>
      <c r="R24"/>
      <c r="S24"/>
      <c r="T24"/>
      <c r="X24"/>
    </row>
    <row r="25" spans="2:24" x14ac:dyDescent="0.2">
      <c r="B25" s="25"/>
      <c r="C25" s="29">
        <v>2</v>
      </c>
      <c r="D25" s="26">
        <v>2</v>
      </c>
      <c r="E25" s="29">
        <v>2</v>
      </c>
      <c r="F25" s="26">
        <v>1</v>
      </c>
      <c r="G25" s="29">
        <v>2</v>
      </c>
      <c r="H25" s="26">
        <v>1</v>
      </c>
      <c r="I25" s="29">
        <v>2</v>
      </c>
      <c r="J25" s="26">
        <v>2</v>
      </c>
      <c r="K25" s="29"/>
      <c r="L25" s="33"/>
      <c r="M25" s="33"/>
      <c r="N25" s="33"/>
      <c r="O25" s="17"/>
      <c r="P25" s="33"/>
      <c r="Q25" s="33"/>
      <c r="R25"/>
      <c r="S25"/>
      <c r="T25"/>
      <c r="X25"/>
    </row>
    <row r="26" spans="2:24" x14ac:dyDescent="0.2">
      <c r="B26" s="25"/>
      <c r="C26" s="29"/>
      <c r="D26" s="26"/>
      <c r="E26" s="29">
        <v>10</v>
      </c>
      <c r="F26" s="26"/>
      <c r="G26" s="29"/>
      <c r="H26" s="26"/>
      <c r="I26" s="29"/>
      <c r="J26" s="26"/>
      <c r="K26" s="29"/>
      <c r="L26" s="33"/>
      <c r="M26" s="33"/>
      <c r="N26" s="33"/>
      <c r="O26" s="17"/>
      <c r="P26" s="33"/>
      <c r="Q26" s="33"/>
      <c r="R26"/>
      <c r="S26"/>
      <c r="T26"/>
      <c r="X26"/>
    </row>
    <row r="27" spans="2:24" x14ac:dyDescent="0.2">
      <c r="B27" s="34"/>
      <c r="C27" s="35">
        <v>2025</v>
      </c>
      <c r="D27" s="36">
        <v>2025</v>
      </c>
      <c r="E27" s="35">
        <v>2025</v>
      </c>
      <c r="F27" s="36">
        <v>2025</v>
      </c>
      <c r="G27" s="35">
        <v>2025</v>
      </c>
      <c r="H27" s="36">
        <v>2025</v>
      </c>
      <c r="I27" s="35">
        <v>2025</v>
      </c>
      <c r="J27" s="36">
        <v>2025</v>
      </c>
      <c r="K27" s="35"/>
      <c r="L27" s="33"/>
      <c r="M27" s="33"/>
      <c r="N27" s="33"/>
      <c r="O27" s="17"/>
      <c r="P27" s="33"/>
      <c r="Q27" s="33"/>
      <c r="R27"/>
      <c r="S27"/>
      <c r="T27"/>
      <c r="X27"/>
    </row>
    <row r="28" spans="2:24" x14ac:dyDescent="0.2">
      <c r="B28" s="25"/>
      <c r="C28" s="29">
        <v>3</v>
      </c>
      <c r="D28" s="26">
        <v>3</v>
      </c>
      <c r="E28" s="29">
        <v>4</v>
      </c>
      <c r="F28" s="26">
        <v>3</v>
      </c>
      <c r="G28" s="29">
        <v>3</v>
      </c>
      <c r="H28" s="26">
        <v>3</v>
      </c>
      <c r="I28" s="29">
        <v>3</v>
      </c>
      <c r="J28" s="26">
        <v>3</v>
      </c>
      <c r="K28" s="29"/>
      <c r="L28" s="33"/>
      <c r="M28" s="33"/>
      <c r="N28" s="33"/>
      <c r="O28" s="17"/>
      <c r="P28" s="33"/>
      <c r="Q28" s="33"/>
      <c r="R28"/>
      <c r="S28"/>
      <c r="T28"/>
      <c r="X28"/>
    </row>
    <row r="29" spans="2:24" x14ac:dyDescent="0.2">
      <c r="B29" s="580"/>
      <c r="C29" s="70">
        <v>0</v>
      </c>
      <c r="D29" s="70">
        <v>0</v>
      </c>
      <c r="E29" s="70">
        <v>0</v>
      </c>
      <c r="F29" s="70">
        <v>0</v>
      </c>
      <c r="G29" s="70">
        <v>0</v>
      </c>
      <c r="H29" s="70">
        <v>0</v>
      </c>
      <c r="I29" s="70">
        <v>0</v>
      </c>
      <c r="J29" s="70">
        <v>0</v>
      </c>
      <c r="K29" s="29"/>
      <c r="L29" s="33"/>
      <c r="M29" s="33"/>
      <c r="N29" s="33"/>
      <c r="O29" s="17"/>
      <c r="P29" s="33"/>
      <c r="Q29" s="33"/>
      <c r="R29"/>
      <c r="S29"/>
      <c r="T29"/>
      <c r="X29"/>
    </row>
    <row r="30" spans="2:24" x14ac:dyDescent="0.2">
      <c r="B30" s="580"/>
      <c r="C30" s="70">
        <v>1</v>
      </c>
      <c r="D30" s="69">
        <v>1</v>
      </c>
      <c r="E30" s="70">
        <v>1</v>
      </c>
      <c r="F30" s="69">
        <v>1</v>
      </c>
      <c r="G30" s="70">
        <v>1</v>
      </c>
      <c r="H30" s="69">
        <v>1</v>
      </c>
      <c r="I30" s="70">
        <v>1</v>
      </c>
      <c r="J30" s="69">
        <v>1</v>
      </c>
      <c r="K30" s="26"/>
      <c r="L30" s="33"/>
      <c r="M30" s="33"/>
      <c r="N30" s="33"/>
      <c r="O30" s="17"/>
      <c r="P30" s="33"/>
      <c r="Q30" s="33"/>
      <c r="R30"/>
      <c r="S30"/>
      <c r="T30"/>
      <c r="X30"/>
    </row>
    <row r="31" spans="2:24" x14ac:dyDescent="0.2">
      <c r="B31" s="25"/>
      <c r="C31" s="450">
        <f>IF(DENDRO_ClientWithOrWithoutScanner_ChkBox,1,2)</f>
        <v>2</v>
      </c>
      <c r="D31" s="26"/>
      <c r="E31" s="450">
        <f>IF(RHIZO_ClientWithOrWithoutScanner_ChkBox,1,2)</f>
        <v>1</v>
      </c>
      <c r="F31" s="26"/>
      <c r="G31" s="450">
        <f>IF(FOLIA_ClientWithOrWithoutScanner_ChkBox,1,2)</f>
        <v>2</v>
      </c>
      <c r="H31" s="451">
        <f>IF(SEEDLE_ClientWithOrWithoutScanner_ChkBox,1,2)</f>
        <v>1</v>
      </c>
      <c r="I31" s="450">
        <f>IF(CAM_ClientWithOrWithoutScanner_ChkBox,1,2)</f>
        <v>2</v>
      </c>
      <c r="J31" s="214">
        <v>0</v>
      </c>
      <c r="K31" s="29"/>
      <c r="L31" s="33"/>
      <c r="M31" s="33"/>
      <c r="N31" s="33"/>
      <c r="O31" s="17"/>
      <c r="P31" s="33"/>
      <c r="Q31" s="33"/>
      <c r="R31"/>
      <c r="S31"/>
      <c r="T31"/>
      <c r="X31"/>
    </row>
    <row r="32" spans="2:24" x14ac:dyDescent="0.2">
      <c r="B32" s="25"/>
      <c r="C32" s="29" t="b">
        <v>0</v>
      </c>
      <c r="D32" s="28"/>
      <c r="E32" s="28" t="b">
        <v>1</v>
      </c>
      <c r="F32" s="28"/>
      <c r="G32" s="28" t="b">
        <v>0</v>
      </c>
      <c r="H32" s="28" t="b">
        <v>1</v>
      </c>
      <c r="I32" s="28" t="b">
        <v>0</v>
      </c>
      <c r="J32" s="28"/>
      <c r="K32" s="28"/>
      <c r="L32" s="33"/>
      <c r="M32" s="33"/>
      <c r="N32" s="33"/>
      <c r="O32" s="17"/>
      <c r="P32" s="33"/>
      <c r="Q32" s="33"/>
      <c r="R32"/>
      <c r="S32"/>
      <c r="T32"/>
      <c r="X32"/>
    </row>
    <row r="33" spans="1:24" x14ac:dyDescent="0.2">
      <c r="E33" s="30" t="b">
        <v>1</v>
      </c>
      <c r="G33" s="30" t="b">
        <v>1</v>
      </c>
      <c r="H33" s="30" t="b">
        <v>1</v>
      </c>
      <c r="I33" s="30" t="b">
        <v>1</v>
      </c>
      <c r="M33" s="33"/>
      <c r="N33" s="33"/>
      <c r="O33" s="29" t="str">
        <f>TableClientButtons[[#Headers],[Column14]]</f>
        <v>Column14</v>
      </c>
      <c r="P33" s="33" t="str">
        <f>TableClientButtons[[#Headers],[Column15]]</f>
        <v>Column15</v>
      </c>
      <c r="Q33" s="33"/>
      <c r="R33"/>
      <c r="S33"/>
      <c r="T33"/>
      <c r="X33"/>
    </row>
    <row r="34" spans="1:24" x14ac:dyDescent="0.2">
      <c r="A34" s="67"/>
      <c r="B34" s="68"/>
      <c r="C34" s="620">
        <f>IF(C29,1,C30)</f>
        <v>1</v>
      </c>
      <c r="D34" s="620">
        <f t="shared" ref="D34:J34" si="3">IF(D29,1,D30)</f>
        <v>1</v>
      </c>
      <c r="E34" s="620">
        <f t="shared" si="3"/>
        <v>1</v>
      </c>
      <c r="F34" s="620">
        <f t="shared" si="3"/>
        <v>1</v>
      </c>
      <c r="G34" s="620">
        <f t="shared" si="3"/>
        <v>1</v>
      </c>
      <c r="H34" s="620">
        <f t="shared" si="3"/>
        <v>1</v>
      </c>
      <c r="I34" s="620">
        <f t="shared" si="3"/>
        <v>1</v>
      </c>
      <c r="J34" s="620">
        <f t="shared" si="3"/>
        <v>1</v>
      </c>
      <c r="K34" s="70"/>
      <c r="L34" s="66"/>
      <c r="M34" s="443">
        <f>SUM(TableClientButtons[[#This Row],[Column2]:[Column9]])-COUNT(TableClientButtons[[#This Row],[Column2]:[Column9]])</f>
        <v>0</v>
      </c>
      <c r="N34" s="66"/>
      <c r="O34" s="533">
        <f>IF(
AND(
 N_Soft_Upd_Upg_Total&gt;0,
 SUM(O68,O71:O73,O75:O76,O80:O82)=0),
1,0)</f>
        <v>0</v>
      </c>
      <c r="P34" s="491" t="e">
        <f>INDEX('Ship$'!D11:Y11,1,SHIP_Country_Index)*SHIP_CurrencyTaux</f>
        <v>#REF!</v>
      </c>
      <c r="Q34" s="33"/>
      <c r="R34"/>
      <c r="S34"/>
      <c r="T34"/>
      <c r="X34"/>
    </row>
    <row r="35" spans="1:24" x14ac:dyDescent="0.2">
      <c r="A35" s="67"/>
      <c r="B35" s="68"/>
      <c r="C35" s="450">
        <f>IF(NOT(C29),1,C30)</f>
        <v>1</v>
      </c>
      <c r="D35" s="450">
        <f t="shared" ref="D35:J35" si="4">IF(NOT(D29),1,D30)</f>
        <v>1</v>
      </c>
      <c r="E35" s="450">
        <f t="shared" si="4"/>
        <v>1</v>
      </c>
      <c r="F35" s="450">
        <f t="shared" si="4"/>
        <v>1</v>
      </c>
      <c r="G35" s="450">
        <f t="shared" si="4"/>
        <v>1</v>
      </c>
      <c r="H35" s="450">
        <f t="shared" si="4"/>
        <v>1</v>
      </c>
      <c r="I35" s="450">
        <f t="shared" si="4"/>
        <v>1</v>
      </c>
      <c r="J35" s="450">
        <f t="shared" si="4"/>
        <v>1</v>
      </c>
      <c r="K35" s="70"/>
      <c r="L35" s="66"/>
      <c r="M35" s="443">
        <f>SUM(TableClientButtons[[#This Row],[Column2]:[Column9]])-COUNT(TableClientButtons[[#This Row],[Column2]:[Column9]])</f>
        <v>0</v>
      </c>
      <c r="N35" s="66"/>
      <c r="O35" s="29"/>
      <c r="P35" s="33"/>
      <c r="Q35" s="33"/>
      <c r="R35"/>
      <c r="S35"/>
      <c r="T35"/>
      <c r="X35"/>
    </row>
    <row r="36" spans="1:24" x14ac:dyDescent="0.2">
      <c r="A36" s="67"/>
      <c r="B36" s="68"/>
      <c r="C36" s="70">
        <v>1</v>
      </c>
      <c r="D36" s="214"/>
      <c r="E36" s="70">
        <v>1</v>
      </c>
      <c r="F36" s="214"/>
      <c r="G36" s="70">
        <v>1</v>
      </c>
      <c r="H36" s="69">
        <v>1</v>
      </c>
      <c r="I36" s="70">
        <v>1</v>
      </c>
      <c r="J36" s="69">
        <v>1</v>
      </c>
      <c r="K36" s="70"/>
      <c r="L36" s="66"/>
      <c r="M36" s="443">
        <f>SUM(TableClientButtons[[#This Row],[Column2]:[Column9]])-COUNT(TableClientButtons[[#This Row],[Column2]:[Column9]])</f>
        <v>0</v>
      </c>
      <c r="N36" s="66"/>
      <c r="O36" s="17"/>
      <c r="P36" s="33"/>
      <c r="Q36" s="33"/>
      <c r="R36"/>
      <c r="S36"/>
      <c r="T36"/>
      <c r="X36"/>
    </row>
    <row r="37" spans="1:24" x14ac:dyDescent="0.2">
      <c r="A37" s="67"/>
      <c r="B37" s="68"/>
      <c r="C37" s="70">
        <v>1</v>
      </c>
      <c r="D37" s="69">
        <v>1</v>
      </c>
      <c r="E37" s="70">
        <v>1</v>
      </c>
      <c r="F37" s="69">
        <v>1</v>
      </c>
      <c r="G37" s="70">
        <v>1</v>
      </c>
      <c r="H37" s="69">
        <v>1</v>
      </c>
      <c r="I37" s="70">
        <v>1</v>
      </c>
      <c r="J37" s="69">
        <v>1</v>
      </c>
      <c r="K37" s="70"/>
      <c r="L37" s="443"/>
      <c r="M37" s="443">
        <f>SUM(C13:I22)-COUNT(C13:I22)</f>
        <v>0</v>
      </c>
      <c r="N37" s="66"/>
      <c r="O37" s="17"/>
      <c r="P37" s="33"/>
      <c r="Q37" s="33"/>
      <c r="R37"/>
      <c r="S37"/>
      <c r="T37"/>
      <c r="X37"/>
    </row>
    <row r="38" spans="1:24" x14ac:dyDescent="0.2">
      <c r="B38" s="25"/>
      <c r="C38" s="41" t="str">
        <f>"WinDENDRO™ Basic            "&amp;Calc!A36</f>
        <v>WinDENDRO™ Basic            1501</v>
      </c>
      <c r="D38" s="41" t="str">
        <f>"WinCELL™ Basic  "&amp;Calc!A39</f>
        <v>WinCELL™ Basic  1452</v>
      </c>
      <c r="E38" s="41" t="str">
        <f>"WinRHIZO™ Basic                "&amp;Calc!A42</f>
        <v>WinRHIZO™ Basic                1493</v>
      </c>
      <c r="F38" s="41" t="str">
        <f>"WinRHIZO Tron™ Basic        "&amp; Calc!A46</f>
        <v>WinRHIZO Tron™ Basic        1327</v>
      </c>
      <c r="G38" s="41" t="str">
        <f>"WinFOLIA™ Basic    "&amp;Calc!A49</f>
        <v>WinFOLIA™ Basic    1427</v>
      </c>
      <c r="H38" s="41" t="str">
        <f>"WinSEEDLE™ Basic  " &amp; Calc!A52</f>
        <v>WinSEEDLE™ Basic  1443</v>
      </c>
      <c r="I38" s="41" t="str">
        <f>"WinCAM™ NDVI Basic   "&amp;
Calc!A55</f>
        <v>WinCAM™ NDVI Basic   1451</v>
      </c>
      <c r="J38" s="41" t="str">
        <f>"WinSCANOPY™ Mini    "&amp;
Calc!A58</f>
        <v>WinSCANOPY™ Mini    1535</v>
      </c>
      <c r="K38" s="41"/>
      <c r="L38" s="33"/>
      <c r="M38" s="33"/>
      <c r="N38" s="33"/>
      <c r="O38" s="29"/>
      <c r="P38" s="33"/>
      <c r="Q38" s="33"/>
      <c r="R38"/>
      <c r="S38"/>
      <c r="T38"/>
      <c r="X38"/>
    </row>
    <row r="39" spans="1:24" x14ac:dyDescent="0.2">
      <c r="B39" s="25"/>
      <c r="C39" s="41" t="str">
        <f>"WinDENDRO™ Reg             "&amp;Calc!A37</f>
        <v>WinDENDRO™ Reg             3650</v>
      </c>
      <c r="D39" s="41" t="str">
        <f>"WinCELL™ Reg    "&amp;Calc!A40</f>
        <v>WinCELL™ Reg    2634</v>
      </c>
      <c r="E39" s="41" t="str">
        <f>"WinRHIZO™ Reg                  "&amp;Calc!A43</f>
        <v>WinRHIZO™ Reg                  3612</v>
      </c>
      <c r="F39" s="41" t="str">
        <f>"WinRHIZO Tron™ Reg          "&amp; Calc!A47</f>
        <v>WinRHIZO Tron™ Reg          1866</v>
      </c>
      <c r="G39" s="41" t="str">
        <f>"WinFOLIA™ Reg      "&amp;Calc!A50</f>
        <v>WinFOLIA™ Reg      2331</v>
      </c>
      <c r="H39" s="41" t="str">
        <f>"WinSEEDLE™ Reg    " &amp; Calc!A53</f>
        <v>WinSEEDLE™ Reg    2265</v>
      </c>
      <c r="I39" s="41" t="str">
        <f>"WinCAM™ NDVI Reg     "&amp;
Calc!A56</f>
        <v>WinCAM™ NDVI Reg     1949</v>
      </c>
      <c r="J39" s="41" t="str">
        <f>"WinSCANOPY™ Reg     "&amp;
Calc!A59</f>
        <v>WinSCANOPY™ Reg     2487</v>
      </c>
      <c r="K39" s="41"/>
      <c r="L39" s="33"/>
      <c r="M39" s="33"/>
      <c r="N39" s="33"/>
      <c r="O39" s="29"/>
      <c r="P39" s="33"/>
      <c r="Q39" s="33"/>
      <c r="R39"/>
      <c r="S39"/>
      <c r="T39"/>
      <c r="X39"/>
    </row>
    <row r="40" spans="1:24" x14ac:dyDescent="0.2">
      <c r="B40" s="25"/>
      <c r="C40" s="41" t="str">
        <f>"WinDENDRO™ Density      "&amp;Calc!A38</f>
        <v>WinDENDRO™ Density      5807</v>
      </c>
      <c r="D40" s="41" t="str">
        <f>"WinCELL™ Pro    "&amp;Calc!A41</f>
        <v>WinCELL™ Pro    4145</v>
      </c>
      <c r="E40" s="41" t="str">
        <f>"WinRHIZO™ Pro                   "&amp;Calc!A44</f>
        <v>WinRHIZO™ Pro                   5805</v>
      </c>
      <c r="F40" s="41" t="str">
        <f>"WinRHIZO Tron™ MF    "&amp;
Calc!A48</f>
        <v>WinRHIZO Tron™ MF    2848</v>
      </c>
      <c r="G40" s="41" t="str">
        <f>"WinFOLIA™ Pro       "&amp;Calc!A51</f>
        <v>WinFOLIA™ Pro       4131</v>
      </c>
      <c r="H40" s="41" t="str">
        <f>"WinSEEDLE™ Pro     " &amp; Calc!A54</f>
        <v>WinSEEDLE™ Pro     3731</v>
      </c>
      <c r="I40" s="41" t="str">
        <f>"WinCAM™ NDVI Pro     "&amp;
Calc!A57</f>
        <v>WinCAM™ NDVI Pro     2944</v>
      </c>
      <c r="J40" s="41" t="str">
        <f>"WinSCANOPY™ Pro      "&amp;
Calc!A60</f>
        <v>WinSCANOPY™ Pro      4080</v>
      </c>
      <c r="K40" s="41"/>
      <c r="L40" s="33"/>
      <c r="M40" s="33"/>
      <c r="N40" s="33"/>
      <c r="O40" s="29"/>
      <c r="P40" s="33"/>
      <c r="Q40" s="33"/>
      <c r="R40"/>
      <c r="S40"/>
      <c r="T40"/>
      <c r="X40"/>
    </row>
    <row r="41" spans="1:24" x14ac:dyDescent="0.2">
      <c r="B41" s="25"/>
      <c r="C41" s="41"/>
      <c r="D41" s="41"/>
      <c r="E41" s="41" t="str">
        <f>"WinRHIZO™ Arabidopsis      "&amp;Calc!A45</f>
        <v>WinRHIZO™ Arabidopsis      7231</v>
      </c>
      <c r="F41" s="41"/>
      <c r="G41" s="41"/>
      <c r="H41" s="41"/>
      <c r="I41" s="41"/>
      <c r="J41" s="41"/>
      <c r="K41" s="41"/>
      <c r="L41" s="33"/>
      <c r="M41" s="33"/>
      <c r="N41" s="33"/>
      <c r="O41" s="29"/>
      <c r="P41" s="33"/>
      <c r="Q41" s="33"/>
      <c r="R41"/>
      <c r="S41"/>
      <c r="T41"/>
      <c r="X41"/>
    </row>
    <row r="42" spans="1:24" x14ac:dyDescent="0.2">
      <c r="B42" s="25"/>
      <c r="C42" s="41"/>
      <c r="D42" s="41"/>
      <c r="E42" s="41"/>
      <c r="F42" s="41"/>
      <c r="G42" s="41"/>
      <c r="H42" s="41"/>
      <c r="I42" s="41"/>
      <c r="J42" s="41"/>
      <c r="K42" s="41"/>
      <c r="L42" s="33"/>
      <c r="M42" s="33"/>
      <c r="N42" s="33"/>
      <c r="O42" s="29"/>
      <c r="P42" s="33"/>
      <c r="Q42" s="33"/>
      <c r="R42"/>
      <c r="S42"/>
      <c r="T42"/>
      <c r="X42"/>
    </row>
    <row r="43" spans="1:24" x14ac:dyDescent="0.2">
      <c r="B43" s="25"/>
      <c r="C43" s="41"/>
      <c r="D43" s="41"/>
      <c r="E43" s="41"/>
      <c r="F43" s="41"/>
      <c r="G43" s="41"/>
      <c r="H43" s="41"/>
      <c r="I43" s="41"/>
      <c r="J43" s="41"/>
      <c r="K43" s="41"/>
      <c r="L43" s="33"/>
      <c r="M43" s="33"/>
      <c r="N43" s="33"/>
      <c r="O43" s="29"/>
      <c r="P43" s="33"/>
      <c r="Q43" s="33"/>
      <c r="R43"/>
      <c r="S43"/>
      <c r="T43"/>
      <c r="X43"/>
    </row>
    <row r="44" spans="1:24" x14ac:dyDescent="0.2">
      <c r="B44" s="25"/>
      <c r="C44" s="41"/>
      <c r="D44" s="41"/>
      <c r="E44" s="41"/>
      <c r="F44" s="41"/>
      <c r="G44" s="41"/>
      <c r="H44" s="41"/>
      <c r="I44" s="41"/>
      <c r="J44" s="41"/>
      <c r="K44" s="41"/>
      <c r="L44" s="33"/>
      <c r="M44" s="33"/>
      <c r="N44" s="33"/>
      <c r="O44" s="29"/>
      <c r="P44" s="33"/>
      <c r="Q44" s="33"/>
    </row>
    <row r="45" spans="1:24" x14ac:dyDescent="0.2">
      <c r="B45" s="25"/>
      <c r="C45" s="41"/>
      <c r="D45" s="41"/>
      <c r="E45" s="41"/>
      <c r="F45" s="41"/>
      <c r="G45" s="41"/>
      <c r="H45" s="41"/>
      <c r="I45" s="41"/>
      <c r="J45" s="41"/>
      <c r="K45" s="41"/>
      <c r="L45" s="33"/>
      <c r="M45" s="33"/>
      <c r="N45" s="33"/>
      <c r="O45" s="29"/>
      <c r="P45" s="33"/>
      <c r="Q45" s="33"/>
    </row>
    <row r="46" spans="1:24" x14ac:dyDescent="0.2">
      <c r="B46" s="25"/>
      <c r="C46" s="41"/>
      <c r="D46" s="41"/>
      <c r="E46" s="41"/>
      <c r="F46" s="41"/>
      <c r="G46" s="41"/>
      <c r="H46" s="41"/>
      <c r="I46" s="41"/>
      <c r="J46" s="41"/>
      <c r="K46" s="41"/>
      <c r="L46" s="33"/>
      <c r="M46" s="33"/>
      <c r="N46" s="33"/>
      <c r="O46" s="29"/>
      <c r="P46" s="33"/>
      <c r="Q46" s="33"/>
    </row>
    <row r="47" spans="1:24" x14ac:dyDescent="0.2">
      <c r="B47" s="25"/>
      <c r="C47" s="41"/>
      <c r="D47" s="41"/>
      <c r="E47" s="41"/>
      <c r="F47" s="41"/>
      <c r="G47" s="41"/>
      <c r="H47" s="41"/>
      <c r="I47" s="41"/>
      <c r="J47" s="41"/>
      <c r="K47" s="41"/>
      <c r="L47" s="33"/>
      <c r="M47" s="33"/>
      <c r="N47" s="33"/>
      <c r="O47" s="29"/>
      <c r="P47" s="33"/>
      <c r="Q47" s="33"/>
    </row>
    <row r="48" spans="1:24" x14ac:dyDescent="0.2">
      <c r="B48" s="25"/>
      <c r="C48" s="41"/>
      <c r="D48" s="41"/>
      <c r="E48" s="41"/>
      <c r="F48" s="41"/>
      <c r="G48" s="41"/>
      <c r="H48" s="41"/>
      <c r="I48" s="41"/>
      <c r="J48" s="41"/>
      <c r="K48" s="41"/>
      <c r="L48" s="33"/>
      <c r="M48" s="33"/>
      <c r="N48" s="33"/>
      <c r="O48" s="29"/>
      <c r="P48" s="33"/>
      <c r="Q48" s="33"/>
    </row>
    <row r="49" spans="2:24" x14ac:dyDescent="0.2">
      <c r="B49" s="25"/>
      <c r="C49" s="41"/>
      <c r="D49" s="41"/>
      <c r="E49" s="41"/>
      <c r="F49" s="41"/>
      <c r="G49" s="41"/>
      <c r="H49" s="41"/>
      <c r="I49" s="41"/>
      <c r="J49" s="41"/>
      <c r="K49" s="41"/>
      <c r="L49" s="33"/>
      <c r="M49" s="33"/>
      <c r="N49" s="33"/>
      <c r="O49" s="29"/>
      <c r="P49" s="33"/>
      <c r="Q49" s="33"/>
    </row>
    <row r="50" spans="2:24" x14ac:dyDescent="0.2">
      <c r="B50" s="25"/>
      <c r="C50" s="29"/>
      <c r="D50" s="26"/>
      <c r="E50" s="29"/>
      <c r="F50" s="26"/>
      <c r="G50" s="29"/>
      <c r="H50" s="26"/>
      <c r="I50" s="29"/>
      <c r="J50" s="26"/>
      <c r="K50" s="41"/>
      <c r="L50" s="33"/>
      <c r="M50" s="33"/>
      <c r="N50" s="33"/>
      <c r="O50" s="29"/>
      <c r="P50" s="33"/>
      <c r="Q50" s="33"/>
    </row>
    <row r="51" spans="2:24" x14ac:dyDescent="0.2">
      <c r="B51" s="25"/>
      <c r="C51" s="41" t="s">
        <v>177</v>
      </c>
      <c r="D51" s="41" t="s">
        <v>368</v>
      </c>
      <c r="E51" s="41" t="s">
        <v>164</v>
      </c>
      <c r="F51" s="41" t="s">
        <v>370</v>
      </c>
      <c r="G51" s="41" t="s">
        <v>184</v>
      </c>
      <c r="H51" s="41" t="s">
        <v>369</v>
      </c>
      <c r="I51" s="41" t="s">
        <v>372</v>
      </c>
      <c r="J51" s="41" t="s">
        <v>189</v>
      </c>
      <c r="K51" s="41"/>
      <c r="L51" s="33"/>
      <c r="M51" s="33"/>
      <c r="N51" s="33"/>
      <c r="O51" s="29"/>
      <c r="P51" s="33"/>
      <c r="Q51" s="33"/>
    </row>
    <row r="52" spans="2:24" x14ac:dyDescent="0.2">
      <c r="B52" s="25"/>
      <c r="C52" s="41" t="s">
        <v>178</v>
      </c>
      <c r="D52" s="41" t="s">
        <v>180</v>
      </c>
      <c r="E52" s="41" t="s">
        <v>165</v>
      </c>
      <c r="F52" s="41" t="s">
        <v>182</v>
      </c>
      <c r="G52" s="41" t="s">
        <v>185</v>
      </c>
      <c r="H52" s="41" t="s">
        <v>187</v>
      </c>
      <c r="I52" s="41" t="s">
        <v>371</v>
      </c>
      <c r="J52" s="41" t="s">
        <v>190</v>
      </c>
      <c r="K52" s="41"/>
      <c r="L52" s="33"/>
      <c r="M52" s="33"/>
      <c r="N52" s="33"/>
      <c r="O52" s="29"/>
      <c r="P52" s="33"/>
      <c r="Q52" s="33"/>
    </row>
    <row r="53" spans="2:24" x14ac:dyDescent="0.2">
      <c r="B53" s="25"/>
      <c r="C53" s="41" t="s">
        <v>179</v>
      </c>
      <c r="D53" s="41" t="s">
        <v>181</v>
      </c>
      <c r="E53" s="41" t="s">
        <v>166</v>
      </c>
      <c r="F53" s="41" t="s">
        <v>183</v>
      </c>
      <c r="G53" s="41" t="s">
        <v>186</v>
      </c>
      <c r="H53" s="41" t="s">
        <v>188</v>
      </c>
      <c r="I53" s="41" t="s">
        <v>213</v>
      </c>
      <c r="J53" s="41" t="s">
        <v>191</v>
      </c>
      <c r="K53" s="41"/>
      <c r="L53" s="33"/>
      <c r="M53" s="33"/>
      <c r="N53" s="33"/>
      <c r="O53" s="29"/>
      <c r="P53" s="33"/>
      <c r="Q53" s="33"/>
    </row>
    <row r="54" spans="2:24" x14ac:dyDescent="0.2">
      <c r="B54" s="25"/>
      <c r="C54" s="41"/>
      <c r="D54" s="41"/>
      <c r="E54" s="41" t="s">
        <v>167</v>
      </c>
      <c r="F54" s="41"/>
      <c r="G54" s="41"/>
      <c r="H54" s="41"/>
      <c r="I54" s="41"/>
      <c r="J54" s="41"/>
      <c r="K54" s="41"/>
      <c r="L54" s="33"/>
      <c r="M54" s="33"/>
      <c r="N54" s="33"/>
      <c r="O54" s="29"/>
      <c r="P54" s="33"/>
      <c r="Q54" s="33"/>
      <c r="U54" s="476"/>
      <c r="V54" s="475"/>
    </row>
    <row r="55" spans="2:24" x14ac:dyDescent="0.2">
      <c r="B55" s="25"/>
      <c r="C55" s="41"/>
      <c r="D55" s="41"/>
      <c r="E55" s="41"/>
      <c r="F55" s="41"/>
      <c r="G55" s="41"/>
      <c r="H55" s="41"/>
      <c r="I55" s="41"/>
      <c r="J55" s="41"/>
      <c r="K55" s="41"/>
      <c r="L55" s="33"/>
      <c r="M55" s="33"/>
      <c r="N55" s="33"/>
      <c r="O55" s="29"/>
      <c r="P55" s="33"/>
      <c r="Q55" s="33"/>
    </row>
    <row r="56" spans="2:24" x14ac:dyDescent="0.2">
      <c r="B56" s="25"/>
      <c r="C56" s="41" t="s">
        <v>764</v>
      </c>
      <c r="D56" s="41" t="s">
        <v>764</v>
      </c>
      <c r="E56" s="41" t="s">
        <v>764</v>
      </c>
      <c r="F56" s="41" t="s">
        <v>764</v>
      </c>
      <c r="G56" s="41" t="s">
        <v>764</v>
      </c>
      <c r="H56" s="41" t="s">
        <v>764</v>
      </c>
      <c r="I56" s="41" t="s">
        <v>764</v>
      </c>
      <c r="J56" s="41" t="s">
        <v>764</v>
      </c>
      <c r="K56" s="41"/>
      <c r="L56" s="33"/>
      <c r="M56" s="33"/>
      <c r="N56" s="33"/>
      <c r="O56" s="29"/>
      <c r="P56" s="33"/>
      <c r="Q56" s="33"/>
    </row>
    <row r="57" spans="2:24" x14ac:dyDescent="0.2">
      <c r="B57" s="25"/>
      <c r="C57" s="41" t="s">
        <v>765</v>
      </c>
      <c r="D57" s="41" t="s">
        <v>765</v>
      </c>
      <c r="E57" s="41" t="s">
        <v>765</v>
      </c>
      <c r="F57" s="41" t="s">
        <v>765</v>
      </c>
      <c r="G57" s="41" t="s">
        <v>765</v>
      </c>
      <c r="H57" s="41" t="s">
        <v>765</v>
      </c>
      <c r="I57" s="41" t="s">
        <v>765</v>
      </c>
      <c r="J57" s="41" t="s">
        <v>765</v>
      </c>
      <c r="K57" s="41"/>
      <c r="L57" s="33"/>
      <c r="M57" s="33"/>
      <c r="N57" s="33"/>
      <c r="O57" s="29"/>
      <c r="P57" s="33"/>
      <c r="Q57" s="33"/>
    </row>
    <row r="58" spans="2:24" x14ac:dyDescent="0.2">
      <c r="B58" s="25"/>
      <c r="C58" s="41" t="s">
        <v>766</v>
      </c>
      <c r="D58" s="41" t="s">
        <v>767</v>
      </c>
      <c r="E58" s="41" t="s">
        <v>767</v>
      </c>
      <c r="F58" s="41" t="s">
        <v>769</v>
      </c>
      <c r="G58" s="41" t="s">
        <v>767</v>
      </c>
      <c r="H58" s="41" t="s">
        <v>767</v>
      </c>
      <c r="I58" s="41" t="s">
        <v>767</v>
      </c>
      <c r="J58" s="41" t="s">
        <v>767</v>
      </c>
      <c r="K58" s="41"/>
      <c r="L58" s="33"/>
      <c r="M58" s="33"/>
      <c r="N58" s="33"/>
      <c r="O58" s="29"/>
      <c r="P58" s="33"/>
      <c r="Q58" s="33"/>
    </row>
    <row r="59" spans="2:24" x14ac:dyDescent="0.2">
      <c r="B59" s="25"/>
      <c r="C59" s="41"/>
      <c r="D59" s="41"/>
      <c r="E59" s="41" t="s">
        <v>768</v>
      </c>
      <c r="F59" s="41"/>
      <c r="G59" s="41"/>
      <c r="H59" s="41"/>
      <c r="I59" s="41"/>
      <c r="J59" s="41"/>
      <c r="K59" s="41"/>
      <c r="L59" s="33"/>
      <c r="M59" s="33"/>
      <c r="N59" s="33"/>
      <c r="O59" s="29"/>
      <c r="P59" s="33"/>
      <c r="Q59" s="33"/>
    </row>
    <row r="60" spans="2:24" x14ac:dyDescent="0.2">
      <c r="B60" s="68"/>
      <c r="C60" s="765">
        <v>0</v>
      </c>
      <c r="D60" s="765">
        <v>0</v>
      </c>
      <c r="E60" s="765">
        <v>0</v>
      </c>
      <c r="F60" s="765">
        <v>0</v>
      </c>
      <c r="G60" s="765">
        <v>0</v>
      </c>
      <c r="H60" s="765">
        <v>0</v>
      </c>
      <c r="I60" s="765">
        <v>0</v>
      </c>
      <c r="J60" s="41">
        <v>0</v>
      </c>
      <c r="K60" s="41"/>
      <c r="L60" s="33"/>
      <c r="M60" s="33"/>
      <c r="N60" s="33"/>
      <c r="O60" s="29"/>
      <c r="P60" s="33"/>
      <c r="Q60" s="33"/>
    </row>
    <row r="61" spans="2:24" x14ac:dyDescent="0.2">
      <c r="B61" s="25"/>
      <c r="C61" s="41"/>
      <c r="D61" s="41"/>
      <c r="E61" s="41"/>
      <c r="F61" s="41"/>
      <c r="G61" s="41"/>
      <c r="H61" s="41"/>
      <c r="I61" s="41"/>
      <c r="J61" s="41"/>
      <c r="K61" s="41"/>
      <c r="L61" s="33"/>
      <c r="M61" s="33"/>
      <c r="N61" s="33"/>
      <c r="O61" s="29"/>
      <c r="P61" s="33"/>
      <c r="Q61" s="33"/>
    </row>
    <row r="62" spans="2:24" x14ac:dyDescent="0.2">
      <c r="B62" s="25"/>
      <c r="C62" s="41"/>
      <c r="D62" s="41"/>
      <c r="E62" s="41"/>
      <c r="F62" s="41"/>
      <c r="G62" s="41"/>
      <c r="H62" s="41"/>
      <c r="I62" s="41"/>
      <c r="J62" s="41"/>
      <c r="K62" s="41"/>
      <c r="L62" s="33"/>
      <c r="M62" s="33"/>
      <c r="N62" s="33"/>
      <c r="O62" s="29"/>
      <c r="P62" s="33"/>
      <c r="Q62" s="33"/>
    </row>
    <row r="63" spans="2:24" x14ac:dyDescent="0.2">
      <c r="B63" s="25"/>
      <c r="C63" s="41"/>
      <c r="D63" s="41"/>
      <c r="E63" s="41"/>
      <c r="F63" s="41"/>
      <c r="G63" s="41"/>
      <c r="H63" s="41"/>
      <c r="I63" s="41"/>
      <c r="J63" s="41"/>
      <c r="K63" s="41"/>
      <c r="L63" s="33"/>
      <c r="M63" s="33"/>
      <c r="N63" s="33"/>
      <c r="O63" s="29"/>
      <c r="P63" s="33"/>
      <c r="Q63" s="33"/>
    </row>
    <row r="64" spans="2:24" x14ac:dyDescent="0.2">
      <c r="B64" s="25"/>
      <c r="C64" s="29">
        <f>IF(DENDRO_IndexSoftware&lt;=DENDRO_UpgradeNModels,DENDRO_IndexSoftware,DENDRO_IndexSoftware-DENDRO_UpgradeNModels)</f>
        <v>2</v>
      </c>
      <c r="D64" s="26">
        <f t="shared" ref="D64:J64" si="5">IF(D5&lt;=D28,D5,D5-D28)</f>
        <v>2</v>
      </c>
      <c r="E64" s="29">
        <f t="shared" si="5"/>
        <v>2</v>
      </c>
      <c r="F64" s="26">
        <f t="shared" si="5"/>
        <v>2</v>
      </c>
      <c r="G64" s="29">
        <f t="shared" si="5"/>
        <v>2</v>
      </c>
      <c r="H64" s="26">
        <f t="shared" si="5"/>
        <v>2</v>
      </c>
      <c r="I64" s="29">
        <f t="shared" si="5"/>
        <v>2</v>
      </c>
      <c r="J64" s="26">
        <f t="shared" si="5"/>
        <v>2</v>
      </c>
      <c r="K64" s="29"/>
      <c r="L64" s="33"/>
      <c r="M64" s="33"/>
      <c r="N64" s="33"/>
      <c r="O64" s="29"/>
      <c r="P64" s="33"/>
      <c r="Q64" s="33"/>
      <c r="R64" s="26"/>
      <c r="S64" s="26"/>
      <c r="T64" s="26"/>
      <c r="U64" s="26"/>
      <c r="V64" s="26"/>
      <c r="W64" s="26"/>
      <c r="X64" s="26"/>
    </row>
    <row r="65" spans="2:24" ht="17" thickBot="1" x14ac:dyDescent="0.25">
      <c r="B65" s="363"/>
      <c r="C65" s="364">
        <f t="shared" ref="C65:J65" si="6">IF(C25&lt;=C28,C25,C25-C28)</f>
        <v>2</v>
      </c>
      <c r="D65" s="365">
        <f t="shared" si="6"/>
        <v>2</v>
      </c>
      <c r="E65" s="364">
        <f t="shared" si="6"/>
        <v>2</v>
      </c>
      <c r="F65" s="365">
        <f t="shared" si="6"/>
        <v>1</v>
      </c>
      <c r="G65" s="364">
        <f t="shared" si="6"/>
        <v>2</v>
      </c>
      <c r="H65" s="365">
        <f t="shared" si="6"/>
        <v>1</v>
      </c>
      <c r="I65" s="364">
        <f t="shared" si="6"/>
        <v>2</v>
      </c>
      <c r="J65" s="365">
        <f t="shared" si="6"/>
        <v>2</v>
      </c>
      <c r="K65" s="364"/>
      <c r="L65" s="366"/>
      <c r="M65" s="33"/>
      <c r="N65" s="33"/>
      <c r="O65" s="29" t="str">
        <f>TableClientButtons[[#Headers],[Column14]]</f>
        <v>Column14</v>
      </c>
      <c r="P65" s="33" t="str">
        <f>TableClientButtons[[#Headers],[Column15]]</f>
        <v>Column15</v>
      </c>
      <c r="Q65" s="33"/>
      <c r="R65" s="26"/>
      <c r="S65" s="26"/>
      <c r="T65" s="26"/>
      <c r="U65" s="26"/>
      <c r="V65" s="26"/>
      <c r="W65" s="26"/>
      <c r="X65" s="26"/>
    </row>
    <row r="66" spans="2:24" x14ac:dyDescent="0.2">
      <c r="B66" s="25"/>
      <c r="C66" s="29">
        <f>IF(AND(C32=FALSE(),C4=1,C33=TRUE()),C36-1,0)</f>
        <v>0</v>
      </c>
      <c r="D66" s="26" t="s">
        <v>243</v>
      </c>
      <c r="E66" s="29">
        <f>IF(AND(E32=FALSE(),E4=1,E33=TRUE()),E36-1,0)</f>
        <v>0</v>
      </c>
      <c r="F66" s="26" t="s">
        <v>243</v>
      </c>
      <c r="G66" s="29">
        <f>IF(AND(G32=FALSE(),G4=1,G33=TRUE()),G36-1,0)</f>
        <v>0</v>
      </c>
      <c r="H66" s="29">
        <f>IF(AND(H32=FALSE(),H4=1,H33=TRUE()),H36-1,0)</f>
        <v>0</v>
      </c>
      <c r="I66" s="29">
        <f>IF(AND(I32=FALSE(),I4=1,I33=TRUE()),I36-1,0)</f>
        <v>0</v>
      </c>
      <c r="J66" s="26" t="s">
        <v>243</v>
      </c>
      <c r="K66" s="29" t="s">
        <v>240</v>
      </c>
      <c r="L66" s="29">
        <v>16</v>
      </c>
      <c r="M66" s="33">
        <f>SUM(TableClientButtons[[#This Row],[Column2]:[Column9]])</f>
        <v>0</v>
      </c>
      <c r="N66" s="33" t="str">
        <f>IF(TableClientButtons[[#This Row],[Column12]]&gt;0,IF(TableClientButtons[[#This Row],[Column12]]&gt;1,TableClientButtons[[#This Row],[Column12]]&amp;"*","")&amp;TableClientButtons[[#This Row],[Column10]]&amp; " ","")</f>
        <v/>
      </c>
      <c r="O66" s="33">
        <f>TableClientButtons[[#This Row],[Column12]]</f>
        <v>0</v>
      </c>
      <c r="P66" s="33" t="e">
        <f>INDEX('Ship$'!D27:Y27,1,SHIP_Country_Index)*SHIP_CurrencyTaux</f>
        <v>#REF!</v>
      </c>
      <c r="Q66" s="33"/>
      <c r="R66" s="26"/>
      <c r="S66" s="26"/>
      <c r="T66" s="26"/>
      <c r="U66" s="26"/>
      <c r="V66" s="26"/>
      <c r="W66" s="26"/>
      <c r="X66" s="26"/>
    </row>
    <row r="67" spans="2:24" x14ac:dyDescent="0.2">
      <c r="B67" s="25"/>
      <c r="C67" s="29">
        <f>IF(AND(C32=FALSE(),C4=2,C33=TRUE()),C36-1,0)</f>
        <v>0</v>
      </c>
      <c r="D67" s="26"/>
      <c r="E67" s="29">
        <f>IF(AND(E32=FALSE(),E4=2,E33=TRUE()),E36-1,0)</f>
        <v>0</v>
      </c>
      <c r="F67" s="26"/>
      <c r="G67" s="763">
        <f>0*IF(AND(G32=FALSE(),G4=2,G33=TRUE()),G36-1,0)</f>
        <v>0</v>
      </c>
      <c r="H67" s="29">
        <f>IF(AND(H32=FALSE(),H4=2,H33=TRUE()),H36-1,0)</f>
        <v>0</v>
      </c>
      <c r="I67" s="763">
        <f>0*IF(AND(I32=FALSE(),I4=2,I33=TRUE()),I36-1,0)</f>
        <v>0</v>
      </c>
      <c r="J67" s="26"/>
      <c r="K67" s="29" t="s">
        <v>715</v>
      </c>
      <c r="L67" s="29">
        <v>28</v>
      </c>
      <c r="M67" s="33">
        <f>SUM(TableClientButtons[[#This Row],[Column2]:[Column9]])</f>
        <v>0</v>
      </c>
      <c r="N67" s="33" t="str">
        <f>IF(TableClientButtons[[#This Row],[Column12]]&gt;0,IF(TableClientButtons[[#This Row],[Column12]]&gt;1,TableClientButtons[[#This Row],[Column12]]&amp;"*","")&amp;TableClientButtons[[#This Row],[Column10]]&amp; " ","")</f>
        <v/>
      </c>
      <c r="O67" s="33">
        <f>TableClientButtons[[#This Row],[Column12]]</f>
        <v>0</v>
      </c>
      <c r="P67" s="33" t="e">
        <f>INDEX('Ship$'!D28:Y28,1,SHIP_Country_Index)*SHIP_CurrencyTaux</f>
        <v>#REF!</v>
      </c>
      <c r="Q67" s="33"/>
      <c r="R67" s="26"/>
      <c r="S67" s="26"/>
      <c r="T67" s="26"/>
      <c r="U67" s="26"/>
      <c r="V67" s="26"/>
      <c r="W67" s="26"/>
      <c r="X67" s="26"/>
    </row>
    <row r="68" spans="2:24" x14ac:dyDescent="0.2">
      <c r="B68" s="25"/>
      <c r="C68" s="29">
        <f>IF(AND(C32=TRUE(),C4=1),C36-1,0)</f>
        <v>0</v>
      </c>
      <c r="D68" s="26"/>
      <c r="E68" s="29">
        <f>IF(AND(E32=TRUE(),E4=1),E36-1,0)</f>
        <v>0</v>
      </c>
      <c r="F68" s="26"/>
      <c r="G68" s="29">
        <f>IF(AND(G32=TRUE(),G4=1),G36-1,0)</f>
        <v>0</v>
      </c>
      <c r="H68" s="29">
        <f>IF(AND(H32=TRUE(),H4=1),H36-1,0)</f>
        <v>0</v>
      </c>
      <c r="I68" s="29">
        <f>IF(AND(I32=TRUE(),I4=1),I36-1,0)</f>
        <v>0</v>
      </c>
      <c r="J68" s="26"/>
      <c r="K68" s="29" t="s">
        <v>784</v>
      </c>
      <c r="L68" s="29">
        <v>45</v>
      </c>
      <c r="M68" s="33">
        <f>SUM(TableClientButtons[[#This Row],[Column2]:[Column9]])</f>
        <v>0</v>
      </c>
      <c r="N68" s="33" t="str">
        <f>IF(TableClientButtons[[#This Row],[Column12]]&gt;0,IF(TableClientButtons[[#This Row],[Column12]]&gt;1,TableClientButtons[[#This Row],[Column12]]&amp;"*","")&amp;TableClientButtons[[#This Row],[Column10]]&amp; " ","")</f>
        <v/>
      </c>
      <c r="O68" s="33">
        <f>TableClientButtons[[#This Row],[Column12]]</f>
        <v>0</v>
      </c>
      <c r="P68" s="33" t="e">
        <f>INDEX('Ship$'!D13:Y13,1,SHIP_Country_Index)*SHIP_CurrencyTaux</f>
        <v>#REF!</v>
      </c>
      <c r="Q68" s="33"/>
      <c r="R68" s="26"/>
      <c r="S68" s="26"/>
      <c r="T68" s="26"/>
      <c r="U68" s="26"/>
      <c r="V68" s="26"/>
      <c r="W68" s="26"/>
      <c r="X68" s="26"/>
    </row>
    <row r="69" spans="2:24" x14ac:dyDescent="0.2">
      <c r="B69"/>
      <c r="C69"/>
      <c r="D69"/>
      <c r="E69"/>
      <c r="F69"/>
      <c r="G69"/>
      <c r="H69"/>
      <c r="I69"/>
      <c r="J69"/>
      <c r="K69" t="s">
        <v>716</v>
      </c>
      <c r="L69" s="17">
        <v>1</v>
      </c>
      <c r="M69">
        <f>IF(AND(N_Soft_Upd_Upg_Total&gt;0,N_OptionsTotal+N_SystemTotal=0),INT(N_Soft_Upd_Upg_Total/6+1),0)</f>
        <v>0</v>
      </c>
      <c r="N69" s="33" t="str">
        <f>IF(TableClientButtons[[#This Row],[Column12]]&gt;0,IF(TableClientButtons[[#This Row],[Column12]]&gt;1,TableClientButtons[[#This Row],[Column12]]&amp;"*","")&amp;TableClientButtons[[#This Row],[Column10]]&amp; " ","")</f>
        <v/>
      </c>
      <c r="O69" s="33"/>
      <c r="P69" s="33"/>
      <c r="Q69" s="33"/>
      <c r="R69" s="26"/>
      <c r="S69" s="26"/>
      <c r="T69" s="26"/>
      <c r="U69" s="26"/>
      <c r="V69" s="26"/>
      <c r="W69" s="26"/>
      <c r="X69" s="26"/>
    </row>
    <row r="70" spans="2:24" x14ac:dyDescent="0.2">
      <c r="B70"/>
      <c r="C70"/>
      <c r="D70"/>
      <c r="E70"/>
      <c r="F70"/>
      <c r="G70" s="367">
        <f>IF(AND(G32=FALSE(),G4=2,G33=TRUE()),G36-1,0)</f>
        <v>0</v>
      </c>
      <c r="H70"/>
      <c r="I70" s="367">
        <f>IF(AND(I32=FALSE(),I4=2,I33=TRUE()),I36-1,0)</f>
        <v>0</v>
      </c>
      <c r="J70"/>
      <c r="K70" s="29" t="s">
        <v>241</v>
      </c>
      <c r="L70" s="29">
        <v>10</v>
      </c>
      <c r="M70" s="33">
        <f>SUM(TableClientButtons[[#This Row],[Column2]:[Column9]])</f>
        <v>0</v>
      </c>
      <c r="N70" s="33" t="str">
        <f>IF(TableClientButtons[[#This Row],[Column12]]&gt;0,IF(TableClientButtons[[#This Row],[Column12]]&gt;1,TableClientButtons[[#This Row],[Column12]]&amp;"*","")&amp;TableClientButtons[[#This Row],[Column10]]&amp; " ","")</f>
        <v/>
      </c>
      <c r="O70" s="33">
        <f>TableClientButtons[[#This Row],[Column12]]</f>
        <v>0</v>
      </c>
      <c r="P70" s="33" t="e">
        <f>INDEX('Ship$'!D28:Y28,1,SHIP_Country_Index)*SHIP_CurrencyTaux</f>
        <v>#REF!</v>
      </c>
      <c r="Q70" s="33"/>
      <c r="R70" s="26"/>
      <c r="S70" s="26"/>
      <c r="T70" s="26"/>
      <c r="U70" s="26"/>
      <c r="V70" s="26"/>
      <c r="W70" s="26"/>
      <c r="X70" s="26"/>
    </row>
    <row r="71" spans="2:24" x14ac:dyDescent="0.2">
      <c r="B71" s="25"/>
      <c r="C71" s="29">
        <f>IF(AND(C32=TRUE(),C4=2),C36-1,0)</f>
        <v>0</v>
      </c>
      <c r="D71" s="26"/>
      <c r="E71" s="29">
        <f>IF(AND(E32=TRUE(),E4=2),E36-1,0)</f>
        <v>0</v>
      </c>
      <c r="F71" s="26"/>
      <c r="G71" s="29">
        <f>IF(AND(G32=TRUE(),G4=2),G36-1,0)</f>
        <v>0</v>
      </c>
      <c r="H71" s="29">
        <f>IF(AND(H32=TRUE(),H4=2),H36-1,0)</f>
        <v>0</v>
      </c>
      <c r="I71" s="29">
        <f>IF(AND(I32=TRUE(),I4=2),I36-1,0)</f>
        <v>0</v>
      </c>
      <c r="J71" s="26"/>
      <c r="K71" s="368" t="s">
        <v>235</v>
      </c>
      <c r="L71" s="368">
        <v>73</v>
      </c>
      <c r="M71" s="33">
        <f>SUM(TableClientButtons[[#This Row],[Column2]:[Column9]])</f>
        <v>0</v>
      </c>
      <c r="N71" s="33" t="str">
        <f>IF(TableClientButtons[[#This Row],[Column12]]&gt;0,IF(TableClientButtons[[#This Row],[Column12]]&gt;1,TableClientButtons[[#This Row],[Column12]]&amp;"*","")&amp;TableClientButtons[[#This Row],[Column10]]&amp; " ","")</f>
        <v/>
      </c>
      <c r="O71" s="532">
        <f>IF(TableClientButtons[[#This Row],[Column12]]-M72&lt;0,0,TableClientButtons[[#This Row],[Column12]]-M72)+N("Normalement pas de vente de TPU seuls")</f>
        <v>0</v>
      </c>
      <c r="P71" s="33" t="e">
        <f>INDEX('Ship$'!D16:Y16,1,SHIP_Country_Index)*SHIP_CurrencyTaux</f>
        <v>#REF!</v>
      </c>
      <c r="Q71" s="33"/>
      <c r="R71" s="26"/>
      <c r="S71" s="26"/>
      <c r="T71" s="26"/>
      <c r="U71" s="26"/>
      <c r="V71" s="26"/>
      <c r="W71" s="26"/>
      <c r="X71" s="26"/>
    </row>
    <row r="72" spans="2:24" x14ac:dyDescent="0.2">
      <c r="B72" s="362"/>
      <c r="C72" s="29">
        <f>IF(C71&gt;0,C7-1,0)</f>
        <v>0</v>
      </c>
      <c r="D72" s="26"/>
      <c r="E72" s="367">
        <f>E71</f>
        <v>0</v>
      </c>
      <c r="F72" s="26"/>
      <c r="G72" s="29">
        <f>IF(G71&gt;0,G7-1,0)</f>
        <v>0</v>
      </c>
      <c r="H72" s="367">
        <f>H71</f>
        <v>0</v>
      </c>
      <c r="I72" s="29">
        <f>IF(I71&gt;0,I7-1,0)</f>
        <v>0</v>
      </c>
      <c r="J72" s="26"/>
      <c r="K72" s="29" t="s">
        <v>236</v>
      </c>
      <c r="L72" s="29">
        <v>62</v>
      </c>
      <c r="M72" s="33">
        <f>SUM(TableClientButtons[[#This Row],[Column2]:[Column9]])</f>
        <v>0</v>
      </c>
      <c r="N72" s="33" t="str">
        <f>IF(TableClientButtons[[#This Row],[Column12]]&gt;0,IF(TableClientButtons[[#This Row],[Column12]]&gt;1,TableClientButtons[[#This Row],[Column12]]&amp;"*","")&amp;TableClientButtons[[#This Row],[Column10]]&amp; " ","")</f>
        <v/>
      </c>
      <c r="O72" s="535">
        <f>MIN(TableClientButtons[[#This Row],[Column12]],M71)+N("NE pas compter les TPU &gt; Scanners")</f>
        <v>0</v>
      </c>
      <c r="P72" s="33" t="e">
        <f>INDEX('Ship$'!D15:Y15,1,SHIP_Country_Index)*SHIP_CurrencyTaux</f>
        <v>#REF!</v>
      </c>
      <c r="Q72" s="33"/>
      <c r="R72" s="26"/>
      <c r="S72" s="26"/>
      <c r="T72" s="26"/>
      <c r="U72" s="26"/>
      <c r="V72" s="26"/>
      <c r="W72" s="26"/>
      <c r="X72" s="26"/>
    </row>
    <row r="73" spans="2:24" x14ac:dyDescent="0.2">
      <c r="B73" s="25"/>
      <c r="C73" s="29"/>
      <c r="D73" s="26"/>
      <c r="E73" s="29"/>
      <c r="F73" s="26"/>
      <c r="G73" s="70">
        <f>IF(AND(G32=TRUE(),G4=3),G36-1,0)</f>
        <v>0</v>
      </c>
      <c r="H73" s="26"/>
      <c r="I73" s="70">
        <f>IF(AND(I32=TRUE(),I4=3),I36-1,0)</f>
        <v>0</v>
      </c>
      <c r="J73" s="26"/>
      <c r="K73" s="29" t="s">
        <v>237</v>
      </c>
      <c r="L73" s="29">
        <v>16</v>
      </c>
      <c r="M73" s="33">
        <f>SUM(TableClientButtons[[#This Row],[Column2]:[Column9]])</f>
        <v>0</v>
      </c>
      <c r="N73" s="33" t="str">
        <f>IF(TableClientButtons[[#This Row],[Column12]]&gt;0,IF(TableClientButtons[[#This Row],[Column12]]&gt;1,TableClientButtons[[#This Row],[Column12]]&amp;"*","")&amp;TableClientButtons[[#This Row],[Column10]]&amp; " ","")</f>
        <v/>
      </c>
      <c r="O73" s="33">
        <f>TableClientButtons[[#This Row],[Column12]]</f>
        <v>0</v>
      </c>
      <c r="P73" s="33" t="e">
        <f>P66</f>
        <v>#REF!</v>
      </c>
      <c r="Q73" s="33"/>
      <c r="R73" s="26"/>
      <c r="S73" s="26"/>
      <c r="T73" s="26"/>
      <c r="U73" s="26"/>
      <c r="V73" s="26"/>
      <c r="W73" s="26"/>
      <c r="X73" s="26"/>
    </row>
    <row r="74" spans="2:24" x14ac:dyDescent="0.2">
      <c r="B74" s="25"/>
      <c r="C74" s="29"/>
      <c r="D74" s="26"/>
      <c r="E74" s="29"/>
      <c r="F74" s="26"/>
      <c r="G74" s="70">
        <f>IF(AND(G32=FALSE(),G4=3,G33=TRUE()),G36-1,0)</f>
        <v>0</v>
      </c>
      <c r="H74" s="26"/>
      <c r="I74" s="70">
        <f>IF(AND(I32=FALSE(),I4=3,I33=TRUE()),I36-1,0)</f>
        <v>0</v>
      </c>
      <c r="J74" s="26"/>
      <c r="K74" s="29" t="s">
        <v>328</v>
      </c>
      <c r="L74" s="29" t="s">
        <v>245</v>
      </c>
      <c r="M74" s="33">
        <f>SUM(TableClientButtons[[#This Row],[Column2]:[Column9]])</f>
        <v>0</v>
      </c>
      <c r="N74" s="33" t="str">
        <f>IF(TableClientButtons[[#This Row],[Column12]]&gt;0,IF(TableClientButtons[[#This Row],[Column12]]&gt;1,TableClientButtons[[#This Row],[Column12]]&amp;"*","")&amp;TableClientButtons[[#This Row],[Column10]]&amp; " ","")</f>
        <v/>
      </c>
      <c r="O74" s="33">
        <f>TableClientButtons[[#This Row],[Column12]]</f>
        <v>0</v>
      </c>
      <c r="P74" s="530">
        <v>0</v>
      </c>
      <c r="Q74" s="33"/>
      <c r="R74" s="26"/>
      <c r="S74" s="26"/>
      <c r="T74" s="26"/>
      <c r="U74" s="26"/>
      <c r="V74" s="26"/>
      <c r="W74" s="26"/>
      <c r="X74" s="26"/>
    </row>
    <row r="75" spans="2:24" x14ac:dyDescent="0.2">
      <c r="B75" s="25"/>
      <c r="C75" s="29"/>
      <c r="D75" s="26"/>
      <c r="E75" s="29"/>
      <c r="F75" s="26"/>
      <c r="G75" s="70">
        <f>G14-1</f>
        <v>0</v>
      </c>
      <c r="H75" s="26"/>
      <c r="I75" s="70">
        <f>I14-1</f>
        <v>0</v>
      </c>
      <c r="J75" s="26"/>
      <c r="K75" s="29" t="s">
        <v>237</v>
      </c>
      <c r="L75" s="29">
        <v>16</v>
      </c>
      <c r="M75" s="33">
        <f>SUM(TableClientButtons[[#This Row],[Column2]:[Column9]])</f>
        <v>0</v>
      </c>
      <c r="N75" s="33" t="str">
        <f>IF(TableClientButtons[[#This Row],[Column12]]&gt;0,IF(TableClientButtons[[#This Row],[Column12]]&gt;1,TableClientButtons[[#This Row],[Column12]]&amp;"*","")&amp;TableClientButtons[[#This Row],[Column10]]&amp; " ","")</f>
        <v/>
      </c>
      <c r="O75" s="33">
        <f>TableClientButtons[[#This Row],[Column12]]</f>
        <v>0</v>
      </c>
      <c r="P75" s="33" t="e">
        <f>P66</f>
        <v>#REF!</v>
      </c>
      <c r="Q75" s="33"/>
      <c r="R75" s="26" t="s">
        <v>711</v>
      </c>
      <c r="S75" s="26"/>
      <c r="T75" s="26"/>
      <c r="U75" s="26"/>
      <c r="V75" s="26"/>
      <c r="W75" s="26"/>
      <c r="X75" s="26"/>
    </row>
    <row r="76" spans="2:24" x14ac:dyDescent="0.2">
      <c r="B76" s="25"/>
      <c r="C76" s="29"/>
      <c r="D76" s="26"/>
      <c r="E76" s="29"/>
      <c r="F76" s="26"/>
      <c r="G76" s="70">
        <f>G15-1</f>
        <v>0</v>
      </c>
      <c r="H76" s="26"/>
      <c r="I76" s="70">
        <f>I15-1</f>
        <v>0</v>
      </c>
      <c r="J76" s="26"/>
      <c r="K76" s="29" t="s">
        <v>238</v>
      </c>
      <c r="L76" s="29">
        <v>50</v>
      </c>
      <c r="M76" s="33">
        <f>SUM(TableClientButtons[[#This Row],[Column2]:[Column9]])</f>
        <v>0</v>
      </c>
      <c r="N76" s="33" t="str">
        <f>IF(TableClientButtons[[#This Row],[Column12]]&gt;0,IF(TableClientButtons[[#This Row],[Column12]]&gt;1,TableClientButtons[[#This Row],[Column12]]&amp;"*","")&amp;TableClientButtons[[#This Row],[Column10]]&amp; " ","")</f>
        <v/>
      </c>
      <c r="O76" s="33">
        <f>TableClientButtons[[#This Row],[Column12]]</f>
        <v>0</v>
      </c>
      <c r="P76" s="33" t="e">
        <f>INDEX('Ship$'!D30:Y30,1,SHIP_Country_Index)*SHIP_CurrencyTaux</f>
        <v>#REF!</v>
      </c>
      <c r="Q76" s="33"/>
      <c r="R76" s="26"/>
      <c r="S76" s="26"/>
      <c r="T76" s="26"/>
      <c r="U76" s="26"/>
      <c r="V76" s="26"/>
      <c r="W76" s="26"/>
      <c r="X76" s="26"/>
    </row>
    <row r="77" spans="2:24" x14ac:dyDescent="0.2">
      <c r="B77" s="25"/>
      <c r="C77" s="29"/>
      <c r="D77" s="26"/>
      <c r="E77" s="29"/>
      <c r="F77" s="26"/>
      <c r="G77" s="70">
        <f>IF(G$4=1,G$16-1,0)</f>
        <v>0</v>
      </c>
      <c r="H77" s="26"/>
      <c r="I77" s="70">
        <f>IF(I$4=1,I$16-1,0)</f>
        <v>0</v>
      </c>
      <c r="J77" s="26"/>
      <c r="K77" s="29"/>
      <c r="L77" s="29"/>
      <c r="M77" s="33"/>
      <c r="N77" s="33" t="str">
        <f>IF(TableClientButtons[[#This Row],[Column12]]&gt;0,IF(TableClientButtons[[#This Row],[Column12]]&gt;1,TableClientButtons[[#This Row],[Column12]]&amp;"*","")&amp;TableClientButtons[[#This Row],[Column10]]&amp; " ","")</f>
        <v/>
      </c>
      <c r="O77" s="33"/>
      <c r="P77" s="530">
        <v>0</v>
      </c>
      <c r="Q77" s="33"/>
      <c r="R77" s="26" t="s">
        <v>709</v>
      </c>
      <c r="S77" s="26"/>
      <c r="T77" s="26"/>
      <c r="U77" s="26"/>
      <c r="V77" s="26"/>
      <c r="W77" s="26"/>
      <c r="X77" s="26"/>
    </row>
    <row r="78" spans="2:24" x14ac:dyDescent="0.2">
      <c r="B78" s="25"/>
      <c r="C78" s="29"/>
      <c r="D78" s="26"/>
      <c r="E78" s="29"/>
      <c r="F78" s="26"/>
      <c r="G78" s="70">
        <f>IF(G$4=2,G$16-1,0)</f>
        <v>0</v>
      </c>
      <c r="H78" s="26"/>
      <c r="I78" s="70">
        <f>IF(I$4=2,I$16-1,0)</f>
        <v>0</v>
      </c>
      <c r="J78" s="26"/>
      <c r="K78" s="29" t="s">
        <v>242</v>
      </c>
      <c r="L78" s="29">
        <v>12</v>
      </c>
      <c r="M78" s="33">
        <f>SUM(TableClientButtons[[#This Row],[Column2]:[Column9]])</f>
        <v>0</v>
      </c>
      <c r="N78" s="33" t="str">
        <f>IF(TableClientButtons[[#This Row],[Column12]]&gt;0,IF(TableClientButtons[[#This Row],[Column12]]&gt;1,TableClientButtons[[#This Row],[Column12]]&amp;"*","")&amp;TableClientButtons[[#This Row],[Column10]]&amp; " ","")</f>
        <v/>
      </c>
      <c r="O78" s="535">
        <f>IF(TableClientButtons[[#This Row],[Column12]]&gt;(O72+O71),TableClientButtons[[#This Row],[Column12]]-(O72+O71),0)</f>
        <v>0</v>
      </c>
      <c r="P78" s="530" t="e">
        <f>P75</f>
        <v>#REF!</v>
      </c>
      <c r="Q78" s="33"/>
      <c r="R78" s="26"/>
      <c r="S78" s="26"/>
      <c r="T78" s="26"/>
      <c r="U78" s="26"/>
      <c r="V78" s="26"/>
      <c r="W78" s="26"/>
      <c r="X78" s="26"/>
    </row>
    <row r="79" spans="2:24" x14ac:dyDescent="0.2">
      <c r="B79" s="25"/>
      <c r="C79" s="29"/>
      <c r="D79" s="26"/>
      <c r="E79" s="29"/>
      <c r="F79" s="26"/>
      <c r="G79" s="70">
        <f>IF(G$4=3,G$16-1,0)</f>
        <v>0</v>
      </c>
      <c r="H79" s="26"/>
      <c r="I79" s="70">
        <f>IF(I$4=3,I$16-1,0)</f>
        <v>0</v>
      </c>
      <c r="J79" s="26"/>
      <c r="K79" s="29"/>
      <c r="L79" s="33"/>
      <c r="M79" s="33"/>
      <c r="N79" s="33" t="str">
        <f>IF(TableClientButtons[[#This Row],[Column12]]&gt;0,IF(TableClientButtons[[#This Row],[Column12]]&gt;1,TableClientButtons[[#This Row],[Column12]]&amp;"*","")&amp;TableClientButtons[[#This Row],[Column10]]&amp; " ","")</f>
        <v/>
      </c>
      <c r="O79" s="33"/>
      <c r="P79" s="530">
        <v>0</v>
      </c>
      <c r="Q79" s="33"/>
      <c r="R79" s="26"/>
      <c r="S79" s="26"/>
      <c r="T79" s="26"/>
      <c r="U79" s="26"/>
      <c r="V79" s="26"/>
      <c r="W79" s="26"/>
      <c r="X79" s="26"/>
    </row>
    <row r="80" spans="2:24" x14ac:dyDescent="0.2">
      <c r="B80" s="771"/>
      <c r="C80" s="29"/>
      <c r="D80" s="26"/>
      <c r="E80" s="29"/>
      <c r="F80" s="26"/>
      <c r="G80" s="29"/>
      <c r="H80" s="26"/>
      <c r="I80" s="29"/>
      <c r="J80" s="781">
        <f>0</f>
        <v>0</v>
      </c>
      <c r="K80" s="29">
        <v>0</v>
      </c>
      <c r="L80" s="29">
        <v>0</v>
      </c>
      <c r="M80" s="33">
        <f>SUM(TableClientButtons[[#This Row],[Column2]:[Column9]])</f>
        <v>0</v>
      </c>
      <c r="N80" s="33" t="str">
        <f>IF(TableClientButtons[[#This Row],[Column12]]&gt;0,IF(TableClientButtons[[#This Row],[Column12]]&gt;1,TableClientButtons[[#This Row],[Column12]]&amp;"*","")&amp;TableClientButtons[[#This Row],[Column10]]&amp; " ","")</f>
        <v/>
      </c>
      <c r="O80" s="33">
        <f>TableClientButtons[[#This Row],[Column12]]</f>
        <v>0</v>
      </c>
      <c r="P80" s="33">
        <v>0</v>
      </c>
      <c r="Q80" s="33"/>
      <c r="R80" s="26"/>
      <c r="S80" s="26"/>
      <c r="T80" s="26"/>
      <c r="U80" s="26"/>
      <c r="V80" s="26"/>
      <c r="W80" s="26"/>
      <c r="X80" s="26"/>
    </row>
    <row r="81" spans="2:25" x14ac:dyDescent="0.2">
      <c r="B81" s="25"/>
      <c r="C81" s="29"/>
      <c r="D81" s="26"/>
      <c r="E81" s="29"/>
      <c r="F81" s="26"/>
      <c r="G81" s="29"/>
      <c r="H81" s="26"/>
      <c r="I81" s="29"/>
      <c r="J81" s="69">
        <f>IF(SCANOPY_IndexScanner=1,SCANOPY_N_System-1,0)</f>
        <v>0</v>
      </c>
      <c r="K81" s="29" t="s">
        <v>740</v>
      </c>
      <c r="L81" s="29">
        <v>20</v>
      </c>
      <c r="M81" s="33">
        <f>SUM(TableClientButtons[[#This Row],[Column2]:[Column9]])</f>
        <v>0</v>
      </c>
      <c r="N81" s="33" t="str">
        <f>IF(TableClientButtons[[#This Row],[Column12]]&gt;0,IF(TableClientButtons[[#This Row],[Column12]]&gt;1,TableClientButtons[[#This Row],[Column12]]&amp;"*","")&amp;TableClientButtons[[#This Row],[Column10]]&amp; " ","")</f>
        <v/>
      </c>
      <c r="O81" s="33">
        <f>TableClientButtons[[#This Row],[Column12]]</f>
        <v>0</v>
      </c>
      <c r="P81" s="33" t="e">
        <f>INDEX('Ship$'!D19:Y19,1,SHIP_Country_Index)*SHIP_CurrencyTaux</f>
        <v>#REF!</v>
      </c>
      <c r="Q81" s="33"/>
      <c r="R81" s="26"/>
      <c r="S81" s="26"/>
      <c r="T81" s="26"/>
      <c r="U81" s="26"/>
      <c r="V81" s="26"/>
      <c r="W81" s="26"/>
      <c r="X81" s="26"/>
    </row>
    <row r="82" spans="2:25" x14ac:dyDescent="0.2">
      <c r="B82" s="25"/>
      <c r="C82" s="29"/>
      <c r="D82" s="26"/>
      <c r="E82" s="29"/>
      <c r="F82" s="26"/>
      <c r="G82" s="29"/>
      <c r="H82" s="26"/>
      <c r="I82" s="29"/>
      <c r="J82" s="69">
        <f>IF(SCANOPY_IndexScanner=2,SCANOPY_N_System-1,0)</f>
        <v>0</v>
      </c>
      <c r="K82" s="29" t="s">
        <v>741</v>
      </c>
      <c r="L82" s="29">
        <v>0</v>
      </c>
      <c r="M82" s="33">
        <f>SUM(TableClientButtons[[#This Row],[Column2]:[Column9]])</f>
        <v>0</v>
      </c>
      <c r="N82" s="33" t="str">
        <f>IF(TableClientButtons[[#This Row],[Column12]]&gt;0,IF(TableClientButtons[[#This Row],[Column12]]&gt;1,TableClientButtons[[#This Row],[Column12]]&amp;"*","")&amp;TableClientButtons[[#This Row],[Column10]]&amp; " ","")</f>
        <v/>
      </c>
      <c r="O82" s="33">
        <f>TableClientButtons[[#This Row],[Column12]]</f>
        <v>0</v>
      </c>
      <c r="P82" s="33" t="e">
        <f>INDEX('Ship$'!D20:Y20,1,SHIP_Country_Index)*SHIP_CurrencyTaux</f>
        <v>#REF!</v>
      </c>
      <c r="Q82" s="33"/>
      <c r="R82" s="26"/>
      <c r="S82" s="26"/>
      <c r="T82" s="26"/>
      <c r="U82" s="26"/>
      <c r="V82" s="26"/>
      <c r="W82" s="26"/>
      <c r="X82" s="26"/>
    </row>
    <row r="83" spans="2:25" x14ac:dyDescent="0.2">
      <c r="B83" s="25"/>
      <c r="C83" s="29"/>
      <c r="D83" s="26"/>
      <c r="E83" s="26"/>
      <c r="F83" s="26"/>
      <c r="G83" s="29"/>
      <c r="H83" s="26"/>
      <c r="I83" s="29"/>
      <c r="J83" s="29"/>
      <c r="K83" s="29"/>
      <c r="L83" s="33">
        <v>0</v>
      </c>
      <c r="M83" s="33">
        <f>IF(SUM(M66:M68,M71)&gt;0,0,SUM(N13:N17))</f>
        <v>0</v>
      </c>
      <c r="N83" s="33" t="str">
        <f>IF(TableClientButtons[[#This Row],[Column12]]&gt;0,TableClientButtons[[#This Row],[Column10]]&amp; " ","")</f>
        <v/>
      </c>
      <c r="O83" s="534">
        <f>MAX(0,TableClientButtons[[#This Row],[Column12]]-O68)</f>
        <v>0</v>
      </c>
      <c r="P83" s="534" t="e">
        <f>IF(O83&lt;3,
INDEX('Ship$'!D22:Y22,1,SHIP_Country_Index)*SHIP_CurrencyTaux,
INDEX('Ship$'!D23:Y23,1,SHIP_Country_Index)*SHIP_CurrencyTaux)</f>
        <v>#REF!</v>
      </c>
      <c r="Q83" s="33"/>
      <c r="R83" s="26"/>
      <c r="S83" s="26"/>
      <c r="T83" s="26"/>
      <c r="U83" s="26"/>
      <c r="V83" s="26"/>
      <c r="W83" s="26"/>
      <c r="X83" s="26"/>
    </row>
    <row r="84" spans="2:25" x14ac:dyDescent="0.2">
      <c r="B84" s="25"/>
      <c r="C84" s="29"/>
      <c r="D84" s="26"/>
      <c r="E84" s="26"/>
      <c r="F84" s="26"/>
      <c r="G84" s="29"/>
      <c r="H84" s="26"/>
      <c r="I84" s="29"/>
      <c r="J84" s="29"/>
      <c r="K84" s="29"/>
      <c r="L84" s="33">
        <v>0</v>
      </c>
      <c r="M84" s="33">
        <f>IF(E4=2,
 IF(SUM(M66:M68,M71)&gt;0,0, SUM(N21:N22)),
0)</f>
        <v>0</v>
      </c>
      <c r="N84" s="33" t="str">
        <f>IF(TableClientButtons[[#This Row],[Column12]]&gt;0,TableClientButtons[[#This Row],[Column10]]&amp; " ","")</f>
        <v/>
      </c>
      <c r="O84" s="534">
        <f>MAX(0,TableClientButtons[[#This Row],[Column12]]+M85-O72)</f>
        <v>0</v>
      </c>
      <c r="P84" s="534" t="e">
        <f>IF(O84&lt;5,
INDEX('Ship$'!D24:Y24,1,SHIP_Country_Index)*SHIP_CurrencyTaux,
INDEX('Ship$'!D25:Y25,1,SHIP_Country_Index)*SHIP_CurrencyTaux)</f>
        <v>#REF!</v>
      </c>
      <c r="Q84" s="33"/>
      <c r="R84" s="26"/>
      <c r="S84" s="26"/>
      <c r="T84" s="26"/>
      <c r="U84" s="26"/>
      <c r="V84" s="26"/>
      <c r="W84" s="26"/>
      <c r="X84" s="26"/>
    </row>
    <row r="85" spans="2:25" x14ac:dyDescent="0.2">
      <c r="B85" s="25"/>
      <c r="C85" s="29"/>
      <c r="D85" s="26"/>
      <c r="E85" s="26"/>
      <c r="F85" s="26"/>
      <c r="G85" s="29"/>
      <c r="H85" s="26"/>
      <c r="I85" s="29"/>
      <c r="J85" s="29"/>
      <c r="K85" s="29"/>
      <c r="L85" s="33">
        <v>0</v>
      </c>
      <c r="M85" s="33">
        <f>IF(E4=2,
IF(SUM(M66:M68,M71)&gt;0,0,SUM(N18:N20,N23)),
0)</f>
        <v>0</v>
      </c>
      <c r="N85" s="33" t="str">
        <f>IF(TableClientButtons[[#This Row],[Column12]]&gt;0,TableClientButtons[[#This Row],[Column10]]&amp; " ","")</f>
        <v/>
      </c>
      <c r="O85" s="33"/>
      <c r="P85" s="33"/>
      <c r="Q85" s="33"/>
      <c r="R85" s="26"/>
      <c r="S85" s="26"/>
      <c r="T85" s="26"/>
      <c r="U85" s="26"/>
      <c r="V85" s="26"/>
      <c r="W85" s="26"/>
      <c r="X85" s="26"/>
    </row>
    <row r="86" spans="2:25" x14ac:dyDescent="0.2">
      <c r="B86" s="25"/>
      <c r="C86" s="29"/>
      <c r="D86" s="26"/>
      <c r="E86" s="29"/>
      <c r="F86" s="26"/>
      <c r="G86" s="29"/>
      <c r="H86" s="26"/>
      <c r="I86" s="29"/>
      <c r="J86" s="26"/>
      <c r="K86" s="29"/>
      <c r="L86" s="370">
        <f>SUMPRODUCT(L66:L81,M66:M81)+L83+L84+L85</f>
        <v>0</v>
      </c>
      <c r="M86" s="370">
        <f>SUM(M66:M81)+IF(M83&gt;0,1)+IF(M83&gt;6,1)+IF(M84&gt;0,1)+IF(M84&gt;6,1)+IF(M85&gt;0,1)+IF(M85&gt;6,1)</f>
        <v>0</v>
      </c>
      <c r="N86" s="370" t="str">
        <f>CONCATENATE(N66,N67,N68,N69,N70,N71,N72,N73,N74,N75,N76,N77,N78,N79,N80,N81,N82,N83,N84,N85)</f>
        <v/>
      </c>
      <c r="O86" s="29"/>
      <c r="P86" s="531" t="e">
        <f>ROUNDUP(
(SUMPRODUCT(P66:P82,O66:O82)+P34*O34+
(INT((O83-1)/3)+1)*P83+
(INT((O84-1)/3)+1)*P84+
(INT((O85-1)/3)+1)*P85)*VARS_PriceRise2026_ShipCost,
0)</f>
        <v>#REF!</v>
      </c>
      <c r="Q86" s="33"/>
      <c r="R86" s="26"/>
      <c r="S86" s="26"/>
      <c r="T86" s="26"/>
      <c r="U86" s="26"/>
      <c r="V86" s="26"/>
      <c r="W86" s="26"/>
      <c r="X86" s="26"/>
    </row>
    <row r="87" spans="2:25" x14ac:dyDescent="0.2">
      <c r="B87" s="25"/>
      <c r="C87" s="29"/>
      <c r="D87" s="26"/>
      <c r="E87" s="29"/>
      <c r="F87" s="26"/>
      <c r="G87" s="29"/>
      <c r="H87" s="26"/>
      <c r="I87" s="29"/>
      <c r="J87" s="26"/>
      <c r="K87" s="29"/>
      <c r="L87" s="33"/>
      <c r="M87" s="33"/>
      <c r="N87" s="21"/>
      <c r="O87" s="25"/>
      <c r="P87" s="26"/>
      <c r="Q87" s="26"/>
      <c r="R87" s="26"/>
      <c r="S87" s="26"/>
      <c r="T87" s="26"/>
      <c r="U87" s="26"/>
      <c r="V87" s="26"/>
      <c r="W87" s="26"/>
      <c r="X87" s="26"/>
    </row>
    <row r="88" spans="2:25" x14ac:dyDescent="0.2">
      <c r="D88" s="26"/>
      <c r="E88" s="29"/>
      <c r="F88" s="26"/>
      <c r="G88" s="29" t="s">
        <v>374</v>
      </c>
      <c r="H88" s="26"/>
      <c r="I88" s="29"/>
      <c r="J88" s="26"/>
      <c r="K88" s="29"/>
      <c r="L88" s="33"/>
      <c r="M88" s="33"/>
      <c r="N88" s="21"/>
      <c r="O88" s="25"/>
      <c r="P88" s="26"/>
      <c r="Q88" s="26"/>
      <c r="R88" s="26"/>
      <c r="S88" s="26"/>
      <c r="T88" s="26"/>
      <c r="U88" s="26"/>
      <c r="V88" s="26"/>
      <c r="W88" s="26"/>
      <c r="X88" s="26"/>
    </row>
    <row r="89" spans="2:25" x14ac:dyDescent="0.2">
      <c r="B89" s="39" t="s">
        <v>244</v>
      </c>
      <c r="C89" s="26" t="s">
        <v>7</v>
      </c>
      <c r="G89" s="30" t="s">
        <v>375</v>
      </c>
      <c r="H89" s="30" t="s">
        <v>376</v>
      </c>
      <c r="I89" s="30" t="s">
        <v>377</v>
      </c>
      <c r="J89" s="30" t="s">
        <v>378</v>
      </c>
      <c r="K89" s="30" t="s">
        <v>379</v>
      </c>
      <c r="L89" s="21" t="s">
        <v>380</v>
      </c>
      <c r="M89" s="21" t="s">
        <v>381</v>
      </c>
      <c r="N89" s="21" t="s">
        <v>382</v>
      </c>
      <c r="O89" s="22" t="s">
        <v>383</v>
      </c>
      <c r="P89" s="22" t="s">
        <v>384</v>
      </c>
      <c r="Q89" s="22" t="s">
        <v>385</v>
      </c>
      <c r="R89" s="22" t="s">
        <v>386</v>
      </c>
      <c r="T89" s="468" t="s">
        <v>387</v>
      </c>
      <c r="U89" s="468" t="s">
        <v>402</v>
      </c>
      <c r="V89" s="30" t="s">
        <v>400</v>
      </c>
      <c r="W89" s="30" t="s">
        <v>401</v>
      </c>
      <c r="X89" s="30" t="s">
        <v>404</v>
      </c>
      <c r="Y89" s="30" t="s">
        <v>403</v>
      </c>
    </row>
    <row r="90" spans="2:25" x14ac:dyDescent="0.2">
      <c r="B90" s="32"/>
      <c r="C90" s="774">
        <v>0.05</v>
      </c>
      <c r="D90" s="775"/>
      <c r="E90" s="475"/>
      <c r="G90" s="30">
        <v>1</v>
      </c>
      <c r="H90" s="30">
        <v>1</v>
      </c>
      <c r="I90" s="30">
        <v>1</v>
      </c>
      <c r="J90" s="30">
        <v>1</v>
      </c>
      <c r="K90" s="30">
        <v>1</v>
      </c>
      <c r="L90" s="30">
        <v>1</v>
      </c>
      <c r="M90" s="30">
        <v>1</v>
      </c>
      <c r="N90" s="30">
        <v>1</v>
      </c>
      <c r="O90" s="30">
        <v>1</v>
      </c>
      <c r="P90" s="30">
        <v>1</v>
      </c>
      <c r="Q90" s="30">
        <v>1</v>
      </c>
      <c r="R90" s="30">
        <v>1</v>
      </c>
      <c r="S90" s="30"/>
      <c r="T90" s="22" t="s">
        <v>388</v>
      </c>
      <c r="U90" s="22">
        <v>2024</v>
      </c>
      <c r="V90">
        <v>30</v>
      </c>
      <c r="W90">
        <v>6</v>
      </c>
      <c r="X90" s="22">
        <v>3</v>
      </c>
      <c r="Y90" s="22">
        <f>(DatePick_YearIndex-1)+$U$90</f>
        <v>2026</v>
      </c>
    </row>
    <row r="91" spans="2:25" x14ac:dyDescent="0.2">
      <c r="B91" s="32"/>
      <c r="C91" s="773">
        <v>0.25</v>
      </c>
      <c r="G91" s="30">
        <v>2</v>
      </c>
      <c r="H91" s="30">
        <v>2</v>
      </c>
      <c r="I91" s="30">
        <v>2</v>
      </c>
      <c r="J91" s="30">
        <v>2</v>
      </c>
      <c r="K91" s="30">
        <v>2</v>
      </c>
      <c r="L91" s="30">
        <v>2</v>
      </c>
      <c r="M91" s="30">
        <v>2</v>
      </c>
      <c r="N91" s="30">
        <v>2</v>
      </c>
      <c r="O91" s="30">
        <v>2</v>
      </c>
      <c r="P91" s="30">
        <v>2</v>
      </c>
      <c r="Q91" s="30">
        <v>2</v>
      </c>
      <c r="R91" s="30">
        <v>2</v>
      </c>
      <c r="S91" s="30"/>
      <c r="T91" s="22" t="s">
        <v>389</v>
      </c>
      <c r="U91" s="22">
        <v>2025</v>
      </c>
    </row>
    <row r="92" spans="2:25" x14ac:dyDescent="0.2">
      <c r="B92" s="32"/>
      <c r="C92" s="773">
        <v>0.15</v>
      </c>
      <c r="G92" s="30">
        <v>3</v>
      </c>
      <c r="H92" s="30">
        <v>3</v>
      </c>
      <c r="I92" s="30">
        <v>3</v>
      </c>
      <c r="J92" s="30">
        <v>3</v>
      </c>
      <c r="K92" s="30">
        <v>3</v>
      </c>
      <c r="L92" s="30">
        <v>3</v>
      </c>
      <c r="M92" s="30">
        <v>3</v>
      </c>
      <c r="N92" s="30">
        <v>3</v>
      </c>
      <c r="O92" s="30">
        <v>3</v>
      </c>
      <c r="P92" s="30">
        <v>3</v>
      </c>
      <c r="Q92" s="30">
        <v>3</v>
      </c>
      <c r="R92" s="30">
        <v>3</v>
      </c>
      <c r="S92" s="30"/>
      <c r="T92" s="22" t="s">
        <v>390</v>
      </c>
      <c r="U92" s="22">
        <v>2026</v>
      </c>
    </row>
    <row r="93" spans="2:25" x14ac:dyDescent="0.2">
      <c r="B93" s="32"/>
      <c r="C93" s="772">
        <v>0.25</v>
      </c>
      <c r="G93" s="30">
        <v>4</v>
      </c>
      <c r="H93" s="30">
        <v>4</v>
      </c>
      <c r="I93" s="30">
        <v>4</v>
      </c>
      <c r="J93" s="30">
        <v>4</v>
      </c>
      <c r="K93" s="30">
        <v>4</v>
      </c>
      <c r="L93" s="30">
        <v>4</v>
      </c>
      <c r="M93" s="30">
        <v>4</v>
      </c>
      <c r="N93" s="30">
        <v>4</v>
      </c>
      <c r="O93" s="30">
        <v>4</v>
      </c>
      <c r="P93" s="30">
        <v>4</v>
      </c>
      <c r="Q93" s="30">
        <v>4</v>
      </c>
      <c r="R93" s="30">
        <v>4</v>
      </c>
      <c r="S93" s="30"/>
      <c r="T93" s="22" t="s">
        <v>391</v>
      </c>
      <c r="U93" s="22">
        <v>2027</v>
      </c>
    </row>
    <row r="94" spans="2:25" x14ac:dyDescent="0.2">
      <c r="B94" s="32"/>
      <c r="C94" s="772">
        <v>0.15</v>
      </c>
      <c r="G94" s="30">
        <v>5</v>
      </c>
      <c r="H94" s="30">
        <v>5</v>
      </c>
      <c r="I94" s="30">
        <v>5</v>
      </c>
      <c r="J94" s="30">
        <v>5</v>
      </c>
      <c r="K94" s="30">
        <v>5</v>
      </c>
      <c r="L94" s="30">
        <v>5</v>
      </c>
      <c r="M94" s="30">
        <v>5</v>
      </c>
      <c r="N94" s="30">
        <v>5</v>
      </c>
      <c r="O94" s="30">
        <v>5</v>
      </c>
      <c r="P94" s="30">
        <v>5</v>
      </c>
      <c r="Q94" s="30">
        <v>5</v>
      </c>
      <c r="R94" s="30">
        <v>5</v>
      </c>
      <c r="S94" s="30"/>
      <c r="T94" s="22" t="s">
        <v>392</v>
      </c>
      <c r="U94" s="22">
        <v>2028</v>
      </c>
    </row>
    <row r="95" spans="2:25" x14ac:dyDescent="0.2">
      <c r="B95" s="32"/>
      <c r="C95" s="774">
        <v>0.05</v>
      </c>
      <c r="G95" s="30">
        <v>6</v>
      </c>
      <c r="H95" s="30">
        <v>6</v>
      </c>
      <c r="I95" s="30">
        <v>6</v>
      </c>
      <c r="J95" s="30">
        <v>6</v>
      </c>
      <c r="K95" s="30">
        <v>6</v>
      </c>
      <c r="L95" s="30">
        <v>6</v>
      </c>
      <c r="M95" s="30">
        <v>6</v>
      </c>
      <c r="N95" s="30">
        <v>6</v>
      </c>
      <c r="O95" s="30">
        <v>6</v>
      </c>
      <c r="P95" s="30">
        <v>6</v>
      </c>
      <c r="Q95" s="30">
        <v>6</v>
      </c>
      <c r="R95" s="30">
        <v>6</v>
      </c>
      <c r="S95" s="30"/>
      <c r="T95" s="22" t="s">
        <v>393</v>
      </c>
      <c r="U95" s="22">
        <v>2029</v>
      </c>
    </row>
    <row r="96" spans="2:25" x14ac:dyDescent="0.2">
      <c r="B96" s="32"/>
      <c r="C96" s="774">
        <v>0.05</v>
      </c>
      <c r="G96" s="30">
        <v>7</v>
      </c>
      <c r="H96" s="30">
        <v>7</v>
      </c>
      <c r="I96" s="30">
        <v>7</v>
      </c>
      <c r="J96" s="30">
        <v>7</v>
      </c>
      <c r="K96" s="30">
        <v>7</v>
      </c>
      <c r="L96" s="30">
        <v>7</v>
      </c>
      <c r="M96" s="30">
        <v>7</v>
      </c>
      <c r="N96" s="30">
        <v>7</v>
      </c>
      <c r="O96" s="30">
        <v>7</v>
      </c>
      <c r="P96" s="30">
        <v>7</v>
      </c>
      <c r="Q96" s="30">
        <v>7</v>
      </c>
      <c r="R96" s="30">
        <v>7</v>
      </c>
      <c r="S96" s="30"/>
      <c r="T96" s="22" t="s">
        <v>394</v>
      </c>
      <c r="U96" s="22">
        <v>2030</v>
      </c>
    </row>
    <row r="97" spans="2:21" x14ac:dyDescent="0.2">
      <c r="B97" s="789"/>
      <c r="C97" s="774">
        <v>1.05</v>
      </c>
      <c r="G97" s="30">
        <v>8</v>
      </c>
      <c r="H97" s="30">
        <v>8</v>
      </c>
      <c r="I97" s="30">
        <v>8</v>
      </c>
      <c r="J97" s="30">
        <v>8</v>
      </c>
      <c r="K97" s="30">
        <v>8</v>
      </c>
      <c r="L97" s="30">
        <v>8</v>
      </c>
      <c r="M97" s="30">
        <v>8</v>
      </c>
      <c r="N97" s="30">
        <v>8</v>
      </c>
      <c r="O97" s="30">
        <v>8</v>
      </c>
      <c r="P97" s="30">
        <v>8</v>
      </c>
      <c r="Q97" s="30">
        <v>8</v>
      </c>
      <c r="R97" s="30">
        <v>8</v>
      </c>
      <c r="S97" s="30"/>
      <c r="T97" s="22" t="s">
        <v>395</v>
      </c>
      <c r="U97" s="22">
        <v>2031</v>
      </c>
    </row>
    <row r="98" spans="2:21" x14ac:dyDescent="0.2">
      <c r="B98" s="789"/>
      <c r="C98" s="774">
        <v>1.2</v>
      </c>
      <c r="G98" s="30">
        <v>9</v>
      </c>
      <c r="H98" s="30">
        <v>9</v>
      </c>
      <c r="I98" s="30">
        <v>9</v>
      </c>
      <c r="J98" s="30">
        <v>9</v>
      </c>
      <c r="K98" s="30">
        <v>9</v>
      </c>
      <c r="L98" s="30">
        <v>9</v>
      </c>
      <c r="M98" s="30">
        <v>9</v>
      </c>
      <c r="N98" s="30">
        <v>9</v>
      </c>
      <c r="O98" s="30">
        <v>9</v>
      </c>
      <c r="P98" s="30">
        <v>9</v>
      </c>
      <c r="Q98" s="30">
        <v>9</v>
      </c>
      <c r="R98" s="30">
        <v>9</v>
      </c>
      <c r="S98" s="30"/>
      <c r="T98" s="22" t="s">
        <v>396</v>
      </c>
      <c r="U98" s="22">
        <v>2032</v>
      </c>
    </row>
    <row r="99" spans="2:21" x14ac:dyDescent="0.2">
      <c r="B99" s="789"/>
      <c r="C99" s="774">
        <v>1.2</v>
      </c>
      <c r="G99" s="30">
        <v>10</v>
      </c>
      <c r="H99" s="30">
        <v>10</v>
      </c>
      <c r="I99" s="30">
        <v>10</v>
      </c>
      <c r="J99" s="30">
        <v>10</v>
      </c>
      <c r="K99" s="30">
        <v>10</v>
      </c>
      <c r="L99" s="30">
        <v>10</v>
      </c>
      <c r="M99" s="30">
        <v>10</v>
      </c>
      <c r="N99" s="30">
        <v>10</v>
      </c>
      <c r="O99" s="30">
        <v>10</v>
      </c>
      <c r="P99" s="30">
        <v>10</v>
      </c>
      <c r="Q99" s="30">
        <v>10</v>
      </c>
      <c r="R99" s="30">
        <v>10</v>
      </c>
      <c r="S99" s="30"/>
      <c r="T99" s="22" t="s">
        <v>397</v>
      </c>
      <c r="U99" s="22">
        <v>2033</v>
      </c>
    </row>
    <row r="100" spans="2:21" x14ac:dyDescent="0.2">
      <c r="B100" s="789"/>
      <c r="C100" s="774">
        <f>1.1*1</f>
        <v>1.1000000000000001</v>
      </c>
      <c r="G100" s="30">
        <v>11</v>
      </c>
      <c r="H100" s="30">
        <v>11</v>
      </c>
      <c r="I100" s="30">
        <v>11</v>
      </c>
      <c r="J100" s="30">
        <v>11</v>
      </c>
      <c r="K100" s="30">
        <v>11</v>
      </c>
      <c r="L100" s="30">
        <v>11</v>
      </c>
      <c r="M100" s="30">
        <v>11</v>
      </c>
      <c r="N100" s="30">
        <v>11</v>
      </c>
      <c r="O100" s="30">
        <v>11</v>
      </c>
      <c r="P100" s="30">
        <v>11</v>
      </c>
      <c r="Q100" s="30">
        <v>11</v>
      </c>
      <c r="R100" s="30">
        <v>11</v>
      </c>
      <c r="S100" s="30"/>
      <c r="T100" s="22" t="s">
        <v>398</v>
      </c>
      <c r="U100" s="22">
        <v>2034</v>
      </c>
    </row>
    <row r="101" spans="2:21" x14ac:dyDescent="0.2">
      <c r="B101" s="32"/>
      <c r="C101" s="28" t="b">
        <v>0</v>
      </c>
      <c r="G101" s="30">
        <v>12</v>
      </c>
      <c r="H101" s="30">
        <v>12</v>
      </c>
      <c r="I101" s="30">
        <v>12</v>
      </c>
      <c r="J101" s="30">
        <v>12</v>
      </c>
      <c r="K101" s="30">
        <v>12</v>
      </c>
      <c r="L101" s="30">
        <v>12</v>
      </c>
      <c r="M101" s="30">
        <v>12</v>
      </c>
      <c r="N101" s="30">
        <v>12</v>
      </c>
      <c r="O101" s="30">
        <v>12</v>
      </c>
      <c r="P101" s="30">
        <v>12</v>
      </c>
      <c r="Q101" s="30">
        <v>12</v>
      </c>
      <c r="R101" s="30">
        <v>12</v>
      </c>
      <c r="S101" s="30"/>
      <c r="T101" s="22" t="s">
        <v>399</v>
      </c>
      <c r="U101" s="22">
        <v>2035</v>
      </c>
    </row>
    <row r="102" spans="2:21" x14ac:dyDescent="0.2">
      <c r="B102" s="32"/>
      <c r="C102" s="28" t="b">
        <v>1</v>
      </c>
      <c r="G102" s="30">
        <v>13</v>
      </c>
      <c r="H102" s="30">
        <v>13</v>
      </c>
      <c r="I102" s="30">
        <v>13</v>
      </c>
      <c r="J102" s="30">
        <v>13</v>
      </c>
      <c r="K102" s="30">
        <v>13</v>
      </c>
      <c r="L102" s="30">
        <v>13</v>
      </c>
      <c r="M102" s="30">
        <v>13</v>
      </c>
      <c r="N102" s="30">
        <v>13</v>
      </c>
      <c r="O102" s="30">
        <v>13</v>
      </c>
      <c r="P102" s="30">
        <v>13</v>
      </c>
      <c r="Q102" s="30">
        <v>13</v>
      </c>
      <c r="R102" s="30">
        <v>13</v>
      </c>
      <c r="S102" s="30"/>
      <c r="U102" s="22">
        <v>2036</v>
      </c>
    </row>
    <row r="103" spans="2:21" x14ac:dyDescent="0.2">
      <c r="B103" s="33"/>
      <c r="C103" s="732">
        <f>1</f>
        <v>1</v>
      </c>
      <c r="D103" s="784"/>
      <c r="G103" s="30">
        <v>14</v>
      </c>
      <c r="H103" s="30">
        <v>14</v>
      </c>
      <c r="I103" s="30">
        <v>14</v>
      </c>
      <c r="J103" s="30">
        <v>14</v>
      </c>
      <c r="K103" s="30">
        <v>14</v>
      </c>
      <c r="L103" s="30">
        <v>14</v>
      </c>
      <c r="M103" s="30">
        <v>14</v>
      </c>
      <c r="N103" s="30">
        <v>14</v>
      </c>
      <c r="O103" s="30">
        <v>14</v>
      </c>
      <c r="P103" s="30">
        <v>14</v>
      </c>
      <c r="Q103" s="30">
        <v>14</v>
      </c>
      <c r="R103" s="30">
        <v>14</v>
      </c>
      <c r="S103" s="30"/>
      <c r="U103" s="22">
        <v>2037</v>
      </c>
    </row>
    <row r="104" spans="2:21" x14ac:dyDescent="0.2">
      <c r="B104" s="33"/>
      <c r="C104" s="733">
        <f>IF(Checkbox_DistChine,0,
IF(Checkbox_ScannerOption,1,0))</f>
        <v>1</v>
      </c>
      <c r="G104" s="30">
        <v>15</v>
      </c>
      <c r="H104" s="30">
        <v>15</v>
      </c>
      <c r="I104" s="30">
        <v>15</v>
      </c>
      <c r="J104" s="30">
        <v>15</v>
      </c>
      <c r="K104" s="30">
        <v>15</v>
      </c>
      <c r="L104" s="30">
        <v>15</v>
      </c>
      <c r="M104" s="30">
        <v>15</v>
      </c>
      <c r="N104" s="30">
        <v>15</v>
      </c>
      <c r="O104" s="30">
        <v>15</v>
      </c>
      <c r="P104" s="30">
        <v>15</v>
      </c>
      <c r="Q104" s="30">
        <v>15</v>
      </c>
      <c r="R104" s="30">
        <v>15</v>
      </c>
      <c r="S104" s="30"/>
      <c r="U104" s="22">
        <v>2038</v>
      </c>
    </row>
    <row r="105" spans="2:21" x14ac:dyDescent="0.2">
      <c r="B105" s="33"/>
      <c r="C105" s="29" t="b">
        <v>0</v>
      </c>
      <c r="G105" s="30">
        <v>16</v>
      </c>
      <c r="H105" s="30">
        <v>16</v>
      </c>
      <c r="I105" s="30">
        <v>16</v>
      </c>
      <c r="J105" s="30">
        <v>16</v>
      </c>
      <c r="K105" s="30">
        <v>16</v>
      </c>
      <c r="L105" s="30">
        <v>16</v>
      </c>
      <c r="M105" s="30">
        <v>16</v>
      </c>
      <c r="N105" s="30">
        <v>16</v>
      </c>
      <c r="O105" s="30">
        <v>16</v>
      </c>
      <c r="P105" s="30">
        <v>16</v>
      </c>
      <c r="Q105" s="30">
        <v>16</v>
      </c>
      <c r="R105" s="30">
        <v>16</v>
      </c>
      <c r="S105" s="30"/>
      <c r="U105" s="22">
        <v>2039</v>
      </c>
    </row>
    <row r="106" spans="2:21" x14ac:dyDescent="0.2">
      <c r="B106" s="33"/>
      <c r="C106" s="733">
        <f>IF(IndexCurrency=1,1,IF(IndexCurrency=2,5,3))</f>
        <v>3</v>
      </c>
      <c r="G106" s="30">
        <v>17</v>
      </c>
      <c r="H106" s="30">
        <v>17</v>
      </c>
      <c r="I106" s="30">
        <v>17</v>
      </c>
      <c r="J106" s="30">
        <v>17</v>
      </c>
      <c r="K106" s="30">
        <v>17</v>
      </c>
      <c r="L106" s="30">
        <v>17</v>
      </c>
      <c r="M106" s="30">
        <v>17</v>
      </c>
      <c r="N106" s="30">
        <v>17</v>
      </c>
      <c r="O106" s="30">
        <v>17</v>
      </c>
      <c r="P106" s="30">
        <v>17</v>
      </c>
      <c r="Q106" s="30">
        <v>17</v>
      </c>
      <c r="R106" s="30">
        <v>17</v>
      </c>
      <c r="S106" s="30"/>
      <c r="U106" s="22">
        <v>2040</v>
      </c>
    </row>
    <row r="107" spans="2:21" x14ac:dyDescent="0.2">
      <c r="B107" s="32"/>
      <c r="C107" s="28">
        <v>3</v>
      </c>
      <c r="G107" s="30">
        <v>18</v>
      </c>
      <c r="H107" s="30">
        <v>18</v>
      </c>
      <c r="I107" s="30">
        <v>18</v>
      </c>
      <c r="J107" s="30">
        <v>18</v>
      </c>
      <c r="K107" s="30">
        <v>18</v>
      </c>
      <c r="L107" s="30">
        <v>18</v>
      </c>
      <c r="M107" s="30">
        <v>18</v>
      </c>
      <c r="N107" s="30">
        <v>18</v>
      </c>
      <c r="O107" s="30">
        <v>18</v>
      </c>
      <c r="P107" s="30">
        <v>18</v>
      </c>
      <c r="Q107" s="30">
        <v>18</v>
      </c>
      <c r="R107" s="30">
        <v>18</v>
      </c>
      <c r="S107" s="30"/>
      <c r="U107" s="22">
        <v>2041</v>
      </c>
    </row>
    <row r="108" spans="2:21" x14ac:dyDescent="0.2">
      <c r="B108" s="33"/>
      <c r="C108" s="733">
        <v>3</v>
      </c>
      <c r="G108" s="30">
        <v>19</v>
      </c>
      <c r="H108" s="30">
        <v>19</v>
      </c>
      <c r="I108" s="30">
        <v>19</v>
      </c>
      <c r="J108" s="30">
        <v>19</v>
      </c>
      <c r="K108" s="30">
        <v>19</v>
      </c>
      <c r="L108" s="30">
        <v>19</v>
      </c>
      <c r="M108" s="30">
        <v>19</v>
      </c>
      <c r="N108" s="30">
        <v>19</v>
      </c>
      <c r="O108" s="30">
        <v>19</v>
      </c>
      <c r="P108" s="30">
        <v>19</v>
      </c>
      <c r="Q108" s="30">
        <v>19</v>
      </c>
      <c r="R108" s="30">
        <v>19</v>
      </c>
      <c r="S108" s="30"/>
      <c r="U108" s="22">
        <v>2042</v>
      </c>
    </row>
    <row r="109" spans="2:21" x14ac:dyDescent="0.2">
      <c r="B109" s="32"/>
      <c r="C109" s="28"/>
      <c r="G109" s="30">
        <v>20</v>
      </c>
      <c r="H109" s="30">
        <v>20</v>
      </c>
      <c r="I109" s="30">
        <v>20</v>
      </c>
      <c r="J109" s="30">
        <v>20</v>
      </c>
      <c r="K109" s="30">
        <v>20</v>
      </c>
      <c r="L109" s="30">
        <v>20</v>
      </c>
      <c r="M109" s="30">
        <v>20</v>
      </c>
      <c r="N109" s="30">
        <v>20</v>
      </c>
      <c r="O109" s="30">
        <v>20</v>
      </c>
      <c r="P109" s="30">
        <v>20</v>
      </c>
      <c r="Q109" s="30">
        <v>20</v>
      </c>
      <c r="R109" s="30">
        <v>20</v>
      </c>
      <c r="S109" s="30"/>
      <c r="U109" s="22">
        <v>2043</v>
      </c>
    </row>
    <row r="110" spans="2:21" x14ac:dyDescent="0.2">
      <c r="B110" s="33"/>
      <c r="C110" s="29" t="str">
        <f>IF(Francais," Garantie 30 jours, à inspecter à la réception",". Warranty 30 days, must inspect at reception")</f>
        <v xml:space="preserve"> Garantie 30 jours, à inspecter à la réception</v>
      </c>
      <c r="G110" s="30">
        <v>21</v>
      </c>
      <c r="H110" s="30">
        <v>21</v>
      </c>
      <c r="I110" s="30">
        <v>21</v>
      </c>
      <c r="J110" s="30">
        <v>21</v>
      </c>
      <c r="K110" s="30">
        <v>21</v>
      </c>
      <c r="L110" s="30">
        <v>21</v>
      </c>
      <c r="M110" s="30">
        <v>21</v>
      </c>
      <c r="N110" s="30">
        <v>21</v>
      </c>
      <c r="O110" s="30">
        <v>21</v>
      </c>
      <c r="P110" s="30">
        <v>21</v>
      </c>
      <c r="Q110" s="30">
        <v>21</v>
      </c>
      <c r="R110" s="30">
        <v>21</v>
      </c>
      <c r="S110" s="30"/>
      <c r="U110" s="22">
        <v>2044</v>
      </c>
    </row>
    <row r="111" spans="2:21" x14ac:dyDescent="0.2">
      <c r="B111" s="33"/>
      <c r="C111" s="733" t="b">
        <f>Checkbox_DistChine</f>
        <v>0</v>
      </c>
      <c r="G111" s="30">
        <v>22</v>
      </c>
      <c r="H111" s="30">
        <v>22</v>
      </c>
      <c r="I111" s="30">
        <v>22</v>
      </c>
      <c r="J111" s="30">
        <v>22</v>
      </c>
      <c r="K111" s="30">
        <v>22</v>
      </c>
      <c r="L111" s="30">
        <v>22</v>
      </c>
      <c r="M111" s="30">
        <v>22</v>
      </c>
      <c r="N111" s="30">
        <v>22</v>
      </c>
      <c r="O111" s="30">
        <v>22</v>
      </c>
      <c r="P111" s="30">
        <v>22</v>
      </c>
      <c r="Q111" s="30">
        <v>22</v>
      </c>
      <c r="R111" s="30">
        <v>22</v>
      </c>
      <c r="S111" s="30"/>
      <c r="U111" s="22">
        <v>2045</v>
      </c>
    </row>
    <row r="112" spans="2:21" x14ac:dyDescent="0.2">
      <c r="B112" s="33"/>
      <c r="C112" s="29">
        <v>847160</v>
      </c>
      <c r="G112" s="30">
        <v>23</v>
      </c>
      <c r="H112" s="30">
        <v>23</v>
      </c>
      <c r="I112" s="30">
        <v>23</v>
      </c>
      <c r="J112" s="30">
        <v>23</v>
      </c>
      <c r="K112" s="30">
        <v>23</v>
      </c>
      <c r="L112" s="30">
        <v>23</v>
      </c>
      <c r="M112" s="30">
        <v>23</v>
      </c>
      <c r="N112" s="30">
        <v>23</v>
      </c>
      <c r="O112" s="30">
        <v>23</v>
      </c>
      <c r="P112" s="30">
        <v>23</v>
      </c>
      <c r="Q112" s="30">
        <v>23</v>
      </c>
      <c r="R112" s="30">
        <v>23</v>
      </c>
      <c r="S112" s="30"/>
      <c r="U112" s="22">
        <v>2046</v>
      </c>
    </row>
    <row r="113" spans="2:21" x14ac:dyDescent="0.2">
      <c r="B113" s="33"/>
      <c r="C113" s="28">
        <v>1</v>
      </c>
      <c r="G113" s="30">
        <v>24</v>
      </c>
      <c r="H113" s="30">
        <v>24</v>
      </c>
      <c r="I113" s="30">
        <v>24</v>
      </c>
      <c r="J113" s="30">
        <v>24</v>
      </c>
      <c r="K113" s="30">
        <v>24</v>
      </c>
      <c r="L113" s="30">
        <v>24</v>
      </c>
      <c r="M113" s="30">
        <v>24</v>
      </c>
      <c r="N113" s="30">
        <v>24</v>
      </c>
      <c r="O113" s="30">
        <v>24</v>
      </c>
      <c r="P113" s="30">
        <v>24</v>
      </c>
      <c r="Q113" s="30">
        <v>24</v>
      </c>
      <c r="R113" s="30">
        <v>24</v>
      </c>
      <c r="S113" s="30"/>
      <c r="U113" s="22">
        <v>2047</v>
      </c>
    </row>
    <row r="114" spans="2:21" x14ac:dyDescent="0.2">
      <c r="B114" s="33"/>
      <c r="C114" s="28"/>
      <c r="G114" s="30">
        <v>25</v>
      </c>
      <c r="H114" s="30">
        <v>25</v>
      </c>
      <c r="I114" s="30">
        <v>25</v>
      </c>
      <c r="J114" s="30">
        <v>25</v>
      </c>
      <c r="K114" s="30">
        <v>25</v>
      </c>
      <c r="L114" s="30">
        <v>25</v>
      </c>
      <c r="M114" s="30">
        <v>25</v>
      </c>
      <c r="N114" s="30">
        <v>25</v>
      </c>
      <c r="O114" s="30">
        <v>25</v>
      </c>
      <c r="P114" s="30">
        <v>25</v>
      </c>
      <c r="Q114" s="30">
        <v>25</v>
      </c>
      <c r="R114" s="30">
        <v>25</v>
      </c>
      <c r="S114" s="30"/>
      <c r="U114" s="22">
        <v>2048</v>
      </c>
    </row>
    <row r="115" spans="2:21" x14ac:dyDescent="0.2">
      <c r="B115" s="33"/>
      <c r="C115" s="28" t="b">
        <v>0</v>
      </c>
      <c r="G115" s="30">
        <v>26</v>
      </c>
      <c r="H115" s="30">
        <v>26</v>
      </c>
      <c r="I115" s="30">
        <v>26</v>
      </c>
      <c r="J115" s="30">
        <v>26</v>
      </c>
      <c r="K115" s="30">
        <v>26</v>
      </c>
      <c r="L115" s="30">
        <v>26</v>
      </c>
      <c r="M115" s="30">
        <v>26</v>
      </c>
      <c r="N115" s="30">
        <v>26</v>
      </c>
      <c r="O115" s="30">
        <v>26</v>
      </c>
      <c r="P115" s="30">
        <v>26</v>
      </c>
      <c r="Q115" s="30">
        <v>26</v>
      </c>
      <c r="R115" s="30">
        <v>26</v>
      </c>
      <c r="S115" s="30"/>
      <c r="U115" s="22">
        <v>2049</v>
      </c>
    </row>
    <row r="116" spans="2:21" x14ac:dyDescent="0.2">
      <c r="B116" s="33"/>
      <c r="C116" s="28" t="b">
        <v>0</v>
      </c>
      <c r="G116" s="30">
        <v>27</v>
      </c>
      <c r="H116" s="30">
        <v>27</v>
      </c>
      <c r="I116" s="30">
        <v>27</v>
      </c>
      <c r="J116" s="30">
        <v>27</v>
      </c>
      <c r="K116" s="30">
        <v>27</v>
      </c>
      <c r="L116" s="30">
        <v>27</v>
      </c>
      <c r="M116" s="30">
        <v>27</v>
      </c>
      <c r="N116" s="30">
        <v>27</v>
      </c>
      <c r="O116" s="30">
        <v>27</v>
      </c>
      <c r="P116" s="30">
        <v>27</v>
      </c>
      <c r="Q116" s="30">
        <v>27</v>
      </c>
      <c r="R116" s="30">
        <v>27</v>
      </c>
      <c r="S116" s="30"/>
      <c r="U116" s="22">
        <v>2050</v>
      </c>
    </row>
    <row r="117" spans="2:21" x14ac:dyDescent="0.2">
      <c r="B117" s="33"/>
      <c r="C117" s="28" t="b">
        <v>0</v>
      </c>
      <c r="G117" s="30">
        <v>28</v>
      </c>
      <c r="H117" s="30">
        <v>28</v>
      </c>
      <c r="I117" s="30">
        <v>28</v>
      </c>
      <c r="J117" s="30">
        <v>28</v>
      </c>
      <c r="K117" s="30">
        <v>28</v>
      </c>
      <c r="L117" s="30">
        <v>28</v>
      </c>
      <c r="M117" s="30">
        <v>28</v>
      </c>
      <c r="N117" s="30">
        <v>28</v>
      </c>
      <c r="O117" s="30">
        <v>28</v>
      </c>
      <c r="P117" s="30">
        <v>28</v>
      </c>
      <c r="Q117" s="30">
        <v>28</v>
      </c>
      <c r="R117" s="30">
        <v>28</v>
      </c>
      <c r="S117" s="30"/>
      <c r="U117" s="22">
        <v>2051</v>
      </c>
    </row>
    <row r="118" spans="2:21" x14ac:dyDescent="0.2">
      <c r="B118" s="33"/>
      <c r="C118" s="28">
        <v>2</v>
      </c>
      <c r="G118" s="30">
        <v>29</v>
      </c>
      <c r="H118" s="30" t="str">
        <f>IF(OR(MOD(YearOfList,400)=0,AND(MOD(YearOfList,4)=0,MOD(YearOfList,100)&lt;&gt;0)),29, "")</f>
        <v/>
      </c>
      <c r="I118" s="30">
        <v>29</v>
      </c>
      <c r="J118" s="30">
        <v>29</v>
      </c>
      <c r="K118" s="30">
        <v>29</v>
      </c>
      <c r="L118" s="30">
        <v>29</v>
      </c>
      <c r="M118" s="30">
        <v>29</v>
      </c>
      <c r="N118" s="30">
        <v>29</v>
      </c>
      <c r="O118" s="30">
        <v>29</v>
      </c>
      <c r="P118" s="30">
        <v>29</v>
      </c>
      <c r="Q118" s="30">
        <v>29</v>
      </c>
      <c r="R118" s="30">
        <v>29</v>
      </c>
      <c r="S118" s="30"/>
      <c r="U118" s="22">
        <v>2052</v>
      </c>
    </row>
    <row r="119" spans="2:21" x14ac:dyDescent="0.2">
      <c r="B119" s="33"/>
      <c r="C119" s="28" t="b">
        <v>1</v>
      </c>
      <c r="G119" s="30">
        <v>30</v>
      </c>
      <c r="I119" s="30">
        <v>30</v>
      </c>
      <c r="J119" s="30">
        <v>30</v>
      </c>
      <c r="K119" s="30">
        <v>30</v>
      </c>
      <c r="L119" s="30">
        <v>30</v>
      </c>
      <c r="M119" s="30">
        <v>30</v>
      </c>
      <c r="N119" s="30">
        <v>30</v>
      </c>
      <c r="O119" s="30">
        <v>30</v>
      </c>
      <c r="P119" s="30">
        <v>30</v>
      </c>
      <c r="Q119" s="30">
        <v>30</v>
      </c>
      <c r="R119" s="30">
        <v>30</v>
      </c>
      <c r="S119" s="30"/>
      <c r="U119" s="22">
        <v>2053</v>
      </c>
    </row>
    <row r="120" spans="2:21" x14ac:dyDescent="0.2">
      <c r="B120" s="33"/>
      <c r="C120" s="28" t="b">
        <v>1</v>
      </c>
      <c r="G120" s="30">
        <v>31</v>
      </c>
      <c r="I120" s="30">
        <v>31</v>
      </c>
      <c r="K120" s="30">
        <v>31</v>
      </c>
      <c r="L120" s="30"/>
      <c r="M120" s="30">
        <v>31</v>
      </c>
      <c r="N120" s="30">
        <v>31</v>
      </c>
      <c r="O120" s="30"/>
      <c r="P120" s="30">
        <v>31</v>
      </c>
      <c r="Q120" s="30"/>
      <c r="R120" s="30">
        <v>31</v>
      </c>
      <c r="S120" s="30"/>
      <c r="U120" s="22">
        <v>2054</v>
      </c>
    </row>
    <row r="121" spans="2:21" x14ac:dyDescent="0.2">
      <c r="B121" s="33"/>
      <c r="C121" s="28" t="b">
        <v>1</v>
      </c>
      <c r="L121" s="21"/>
      <c r="M121" s="21"/>
      <c r="N121" s="21"/>
    </row>
    <row r="122" spans="2:21" x14ac:dyDescent="0.2">
      <c r="B122" s="32"/>
      <c r="C122" s="732" t="s">
        <v>12</v>
      </c>
      <c r="L122" s="21"/>
      <c r="M122" s="21"/>
      <c r="N122" s="21"/>
    </row>
    <row r="123" spans="2:21" x14ac:dyDescent="0.2">
      <c r="B123" s="32"/>
      <c r="C123" s="28" t="s">
        <v>3</v>
      </c>
      <c r="J123"/>
      <c r="L123" s="21"/>
      <c r="M123" s="21"/>
      <c r="N123" s="21"/>
    </row>
    <row r="124" spans="2:21" x14ac:dyDescent="0.2">
      <c r="B124" s="32"/>
      <c r="C124" s="28" t="b">
        <v>0</v>
      </c>
      <c r="L124" s="21"/>
      <c r="M124" s="21"/>
      <c r="N124" s="21"/>
    </row>
    <row r="125" spans="2:21" x14ac:dyDescent="0.2">
      <c r="B125" s="32"/>
      <c r="C125" s="28">
        <v>2026</v>
      </c>
      <c r="L125" s="21"/>
      <c r="M125" s="21"/>
      <c r="N125" s="21"/>
    </row>
    <row r="126" spans="2:21" x14ac:dyDescent="0.2">
      <c r="B126" s="32"/>
      <c r="C126" s="732">
        <f>IF(HOME_Country=0,0,
IF(
ISERROR(
INDEX(TablePays[Country_Index],MATCH(HOME_Country,TablePays[Country_Names],0))),
INDEX(TablePays[Country_Index],MATCH("Other*",TablePays[Country_Names],0)),
INDEX(TablePays[Country_Index],MATCH(HOME_Country,TablePays[Country_Names],0))))</f>
        <v>99</v>
      </c>
      <c r="L126" s="21"/>
      <c r="M126" s="21"/>
      <c r="N126" s="21"/>
    </row>
    <row r="127" spans="2:21" x14ac:dyDescent="0.2">
      <c r="B127" s="32"/>
      <c r="C127" s="28">
        <v>0.79</v>
      </c>
      <c r="D127" s="30" t="s">
        <v>126</v>
      </c>
      <c r="L127" s="21"/>
      <c r="M127" s="21"/>
      <c r="N127" s="21"/>
    </row>
    <row r="128" spans="2:21" x14ac:dyDescent="0.2">
      <c r="B128" s="32"/>
      <c r="C128" s="28" t="s">
        <v>313</v>
      </c>
      <c r="L128" s="21"/>
      <c r="M128" s="21"/>
      <c r="N128" s="21"/>
    </row>
    <row r="129" spans="2:14" x14ac:dyDescent="0.2">
      <c r="B129" s="32"/>
      <c r="C129" s="28">
        <v>6100</v>
      </c>
      <c r="L129" s="21"/>
      <c r="M129" s="21"/>
      <c r="N129" s="21"/>
    </row>
    <row r="130" spans="2:14" x14ac:dyDescent="0.2">
      <c r="B130" s="32"/>
      <c r="C130" s="28" t="b">
        <v>0</v>
      </c>
      <c r="L130" s="21"/>
      <c r="M130" s="21"/>
      <c r="N130" s="21"/>
    </row>
    <row r="131" spans="2:14" x14ac:dyDescent="0.2">
      <c r="B131" s="32"/>
      <c r="C131" s="28" t="b">
        <v>0</v>
      </c>
      <c r="L131" s="21"/>
      <c r="M131" s="21"/>
      <c r="N131" s="21"/>
    </row>
    <row r="132" spans="2:14" x14ac:dyDescent="0.2">
      <c r="B132" s="32"/>
      <c r="C132" s="28" t="b">
        <v>0</v>
      </c>
      <c r="L132" s="21"/>
      <c r="M132" s="21"/>
      <c r="N132" s="21"/>
    </row>
    <row r="133" spans="2:14" x14ac:dyDescent="0.2">
      <c r="B133" s="32"/>
      <c r="C133" s="28" t="b">
        <v>0</v>
      </c>
      <c r="L133" s="21"/>
      <c r="M133" s="21"/>
      <c r="N133" s="21"/>
    </row>
    <row r="134" spans="2:14" x14ac:dyDescent="0.2">
      <c r="B134" s="32"/>
      <c r="C134" s="28" t="b">
        <v>0</v>
      </c>
      <c r="L134" s="21"/>
      <c r="M134" s="21"/>
      <c r="N134" s="21"/>
    </row>
    <row r="135" spans="2:14" x14ac:dyDescent="0.2">
      <c r="B135" s="32"/>
      <c r="C135" s="28" t="b">
        <v>0</v>
      </c>
      <c r="L135" s="21"/>
      <c r="M135" s="21"/>
      <c r="N135" s="21"/>
    </row>
    <row r="136" spans="2:14" x14ac:dyDescent="0.2">
      <c r="B136" s="32"/>
      <c r="C136" s="28" t="str">
        <f>IF(IndexCurrency=3,"49025-7301681",IF(IndexCurrency=2,"49025-5204770","49025-5204770"))</f>
        <v>49025-7301681</v>
      </c>
      <c r="L136" s="21"/>
      <c r="M136" s="21"/>
      <c r="N136" s="21"/>
    </row>
    <row r="137" spans="2:14" x14ac:dyDescent="0.2">
      <c r="B137" s="32"/>
      <c r="C137" s="28"/>
      <c r="L137" s="21"/>
      <c r="M137" s="21"/>
      <c r="N137" s="21"/>
    </row>
    <row r="138" spans="2:14" x14ac:dyDescent="0.2">
      <c r="B138" s="32"/>
      <c r="C138" s="28" t="b">
        <v>0</v>
      </c>
      <c r="L138" s="21"/>
      <c r="M138" s="21"/>
      <c r="N138" s="21"/>
    </row>
    <row r="139" spans="2:14" x14ac:dyDescent="0.2">
      <c r="B139" s="32"/>
      <c r="C139" s="28" t="b">
        <v>1</v>
      </c>
      <c r="L139" s="21"/>
      <c r="M139" s="21"/>
      <c r="N139" s="21"/>
    </row>
    <row r="140" spans="2:14" x14ac:dyDescent="0.2">
      <c r="B140" s="32"/>
      <c r="C140" s="28" t="b">
        <v>1</v>
      </c>
      <c r="L140" s="21"/>
      <c r="M140" s="21"/>
      <c r="N140" s="21"/>
    </row>
    <row r="141" spans="2:14" x14ac:dyDescent="0.2">
      <c r="B141" s="32"/>
      <c r="C141" s="28">
        <v>100</v>
      </c>
      <c r="L141" s="21"/>
      <c r="M141" s="21"/>
      <c r="N141" s="21"/>
    </row>
    <row r="142" spans="2:14" x14ac:dyDescent="0.2">
      <c r="B142" s="32"/>
      <c r="C142" s="732" t="e">
        <f>IF(SHIP_Country_Index=22,
"OTHER",INDEX(TablePays[Code Facture],MATCH(HOME_Country,TablePays[Country_Names],0)))</f>
        <v>#N/A</v>
      </c>
      <c r="L142" s="21"/>
      <c r="M142" s="21"/>
      <c r="N142" s="21"/>
    </row>
    <row r="143" spans="2:14" x14ac:dyDescent="0.2">
      <c r="B143" s="32"/>
      <c r="C143" s="732">
        <f>IF(OR(
   AND(HOME_Country=           "Hong Kong",
              HOME_Country_Ship="China"),
   AND(HOME_Country=           "China",
              HOME_Country_Ship="Hong Kong"),
    OR(HOME_Country="",HOME_Country_Ship="")),
0,
IF(HOME_Country&lt;&gt;HOME_Country_Ship,1,0))</f>
        <v>0</v>
      </c>
      <c r="L143" s="21"/>
      <c r="M143" s="21"/>
      <c r="N143" s="21"/>
    </row>
    <row r="144" spans="2:14" x14ac:dyDescent="0.2">
      <c r="B144" s="32"/>
      <c r="C144" s="573"/>
      <c r="L144" s="21"/>
      <c r="M144" s="21"/>
      <c r="N144" s="21"/>
    </row>
    <row r="145" spans="2:14" x14ac:dyDescent="0.2">
      <c r="B145" s="32"/>
      <c r="C145" s="28"/>
      <c r="L145" s="21"/>
      <c r="M145" s="21"/>
      <c r="N145" s="21"/>
    </row>
    <row r="146" spans="2:14" x14ac:dyDescent="0.2">
      <c r="B146" s="32"/>
      <c r="C146" s="575"/>
      <c r="L146" s="21"/>
      <c r="M146" s="21"/>
      <c r="N146" s="21"/>
    </row>
    <row r="147" spans="2:14" x14ac:dyDescent="0.2">
      <c r="B147" s="32"/>
      <c r="C147" s="28"/>
      <c r="L147" s="21"/>
      <c r="M147" s="21"/>
      <c r="N147" s="21"/>
    </row>
    <row r="148" spans="2:14" x14ac:dyDescent="0.2">
      <c r="B148" s="32"/>
      <c r="C148" s="28" t="str">
        <f>IF(Francais,"Supplément pour ne pas utiliser liste de prix d'Instruments Regent pour les commandes","Supplement for not using Regent Instruments price list for ordering.")</f>
        <v>Supplément pour ne pas utiliser liste de prix d'Instruments Regent pour les commandes</v>
      </c>
      <c r="L148" s="21"/>
      <c r="M148" s="21"/>
      <c r="N148" s="21"/>
    </row>
    <row r="149" spans="2:14" x14ac:dyDescent="0.2">
      <c r="B149" s="32"/>
      <c r="C149" s="575"/>
      <c r="L149" s="21"/>
      <c r="M149" s="21"/>
      <c r="N149" s="21"/>
    </row>
    <row r="150" spans="2:14" x14ac:dyDescent="0.2">
      <c r="B150" s="32"/>
      <c r="C150" s="28"/>
      <c r="L150" s="21"/>
      <c r="M150" s="21"/>
      <c r="N150" s="21"/>
    </row>
    <row r="151" spans="2:14" x14ac:dyDescent="0.2">
      <c r="B151" s="32"/>
      <c r="C151" s="28"/>
      <c r="L151" s="21"/>
      <c r="M151" s="21"/>
      <c r="N151" s="21"/>
    </row>
    <row r="152" spans="2:14" x14ac:dyDescent="0.2">
      <c r="B152" s="32"/>
      <c r="C152" s="776">
        <v>0</v>
      </c>
      <c r="L152" s="21"/>
      <c r="M152" s="21"/>
      <c r="N152" s="21"/>
    </row>
    <row r="153" spans="2:14" x14ac:dyDescent="0.2">
      <c r="B153" s="32"/>
      <c r="C153" s="575">
        <v>45912.34412037037</v>
      </c>
      <c r="L153" s="21"/>
      <c r="M153" s="21"/>
      <c r="N153" s="21"/>
    </row>
    <row r="154" spans="2:14" x14ac:dyDescent="0.2">
      <c r="B154" s="32"/>
      <c r="C154" s="575">
        <v>46071.637280092589</v>
      </c>
      <c r="L154" s="21"/>
      <c r="M154" s="21"/>
      <c r="N154" s="21"/>
    </row>
    <row r="155" spans="2:14" x14ac:dyDescent="0.2">
      <c r="B155" s="32"/>
      <c r="C155" s="701" t="s">
        <v>782</v>
      </c>
      <c r="L155" s="21"/>
      <c r="M155" s="21"/>
      <c r="N155" s="21"/>
    </row>
    <row r="156" spans="2:14" x14ac:dyDescent="0.2">
      <c r="B156" s="32"/>
      <c r="C156" s="701" t="s">
        <v>774</v>
      </c>
      <c r="L156" s="21"/>
      <c r="M156" s="21"/>
      <c r="N156" s="21"/>
    </row>
    <row r="157" spans="2:14" x14ac:dyDescent="0.2">
      <c r="B157" s="32"/>
      <c r="C157" s="701"/>
      <c r="L157" s="21"/>
      <c r="M157" s="21"/>
      <c r="N157" s="21"/>
    </row>
    <row r="158" spans="2:14" x14ac:dyDescent="0.2">
      <c r="B158" s="32"/>
      <c r="C158" s="28" t="b">
        <v>1</v>
      </c>
      <c r="L158" s="21"/>
      <c r="M158" s="21"/>
      <c r="N158" s="21"/>
    </row>
    <row r="159" spans="2:14" x14ac:dyDescent="0.2">
      <c r="B159" s="32"/>
      <c r="C159" s="28" t="b">
        <v>0</v>
      </c>
      <c r="L159" s="21"/>
      <c r="M159" s="21"/>
      <c r="N159" s="21"/>
    </row>
    <row r="160" spans="2:14" x14ac:dyDescent="0.2">
      <c r="B160" s="32"/>
      <c r="C160" s="28" t="str">
        <f>IF(AND(QUOTE_Split_SoftwareHardware,QUOTE_InternetDownload),"INTERNET DOWNLOAD","")</f>
        <v/>
      </c>
      <c r="L160" s="21"/>
      <c r="M160" s="21"/>
      <c r="N160" s="21"/>
    </row>
    <row r="161" spans="2:33" x14ac:dyDescent="0.2">
      <c r="B161" s="32"/>
      <c r="C161" s="28" t="b">
        <v>0</v>
      </c>
      <c r="L161" s="21"/>
      <c r="M161" s="21"/>
      <c r="N161" s="21"/>
    </row>
    <row r="162" spans="2:33" x14ac:dyDescent="0.2">
      <c r="B162" s="32"/>
      <c r="C162" s="28" t="str">
        <f>IF(Francais,"Tarifs américains sur la facture #","US Tariffs on invoice #" ) &amp; Inv!AJ1</f>
        <v>Tarifs américains sur la facture #</v>
      </c>
      <c r="L162" s="21"/>
      <c r="M162" s="21"/>
      <c r="N162" s="21"/>
    </row>
    <row r="163" spans="2:33" x14ac:dyDescent="0.2">
      <c r="B163" s="32"/>
      <c r="C163" s="28" t="str">
        <f>IF(Francais,"Tarifs américains sur la soumission #","US Tariffs on quote #" ) &amp; Quote!AF1</f>
        <v>Tarifs américains sur la soumission #Email this quote (the .xls file) to validate it</v>
      </c>
      <c r="L163" s="21"/>
      <c r="M163" s="21"/>
      <c r="N163" s="21"/>
    </row>
    <row r="164" spans="2:33" x14ac:dyDescent="0.2">
      <c r="B164" s="32"/>
      <c r="C164" s="28"/>
      <c r="L164" s="21"/>
      <c r="M164" s="21"/>
      <c r="N164" s="21"/>
    </row>
    <row r="165" spans="2:33" x14ac:dyDescent="0.2">
      <c r="B165" s="32"/>
      <c r="C165" s="28"/>
      <c r="L165" s="21"/>
      <c r="M165" s="21"/>
      <c r="N165" s="21"/>
    </row>
    <row r="166" spans="2:33" x14ac:dyDescent="0.2">
      <c r="B166" s="32"/>
      <c r="C166" s="28"/>
      <c r="L166" s="21"/>
      <c r="M166" s="21"/>
      <c r="N166" s="21"/>
    </row>
    <row r="167" spans="2:33" x14ac:dyDescent="0.2">
      <c r="B167" s="32"/>
      <c r="C167" s="28"/>
      <c r="L167" s="21"/>
      <c r="M167" s="21"/>
      <c r="N167" s="21"/>
    </row>
    <row r="168" spans="2:33" x14ac:dyDescent="0.2">
      <c r="B168" s="32"/>
      <c r="C168" s="28"/>
      <c r="L168" s="21"/>
      <c r="M168" s="21"/>
      <c r="N168" s="21"/>
    </row>
    <row r="169" spans="2:33" x14ac:dyDescent="0.2">
      <c r="B169" s="32"/>
      <c r="C169" s="28"/>
      <c r="L169" s="21"/>
      <c r="M169" s="21"/>
      <c r="N169" s="21"/>
    </row>
    <row r="170" spans="2:33" x14ac:dyDescent="0.2">
      <c r="B170" s="32"/>
      <c r="C170" s="28"/>
      <c r="L170" s="21"/>
      <c r="M170" s="21"/>
      <c r="N170" s="21"/>
    </row>
    <row r="171" spans="2:33" x14ac:dyDescent="0.2">
      <c r="B171" s="32"/>
      <c r="C171" s="28"/>
      <c r="L171" s="21"/>
      <c r="M171" s="21"/>
      <c r="N171" s="21"/>
    </row>
    <row r="172" spans="2:33" x14ac:dyDescent="0.2">
      <c r="B172" s="32"/>
      <c r="C172" s="28"/>
      <c r="L172" s="21"/>
      <c r="M172" s="21"/>
      <c r="N172" s="21"/>
    </row>
    <row r="173" spans="2:33" x14ac:dyDescent="0.2">
      <c r="B173" s="32"/>
      <c r="C173" s="28"/>
      <c r="L173" s="21"/>
      <c r="M173" s="21"/>
      <c r="N173" s="21"/>
    </row>
    <row r="174" spans="2:33" x14ac:dyDescent="0.2">
      <c r="B174" s="32"/>
      <c r="C174" s="28"/>
      <c r="L174" s="21"/>
      <c r="M174" s="21"/>
      <c r="N174" s="21"/>
    </row>
    <row r="175" spans="2:33" x14ac:dyDescent="0.2">
      <c r="L175" s="21"/>
      <c r="M175" s="21"/>
      <c r="N175" s="21"/>
    </row>
    <row r="176" spans="2:33" x14ac:dyDescent="0.2">
      <c r="B176" s="25" t="s">
        <v>244</v>
      </c>
      <c r="C176" s="25" t="s">
        <v>7</v>
      </c>
      <c r="D176" s="22" t="s">
        <v>789</v>
      </c>
      <c r="E176" s="22" t="s">
        <v>907</v>
      </c>
      <c r="F176" s="30" t="s">
        <v>908</v>
      </c>
      <c r="G176" s="30" t="s">
        <v>909</v>
      </c>
      <c r="H176" s="30" t="s">
        <v>910</v>
      </c>
      <c r="I176" s="21" t="s">
        <v>911</v>
      </c>
      <c r="J176" s="22" t="s">
        <v>912</v>
      </c>
      <c r="K176" s="30" t="s">
        <v>913</v>
      </c>
      <c r="L176" s="22" t="s">
        <v>914</v>
      </c>
      <c r="M176" s="30" t="s">
        <v>915</v>
      </c>
      <c r="N176" s="22" t="s">
        <v>916</v>
      </c>
      <c r="O176" s="22" t="s">
        <v>917</v>
      </c>
      <c r="P176" s="22" t="s">
        <v>918</v>
      </c>
      <c r="Q176" s="22" t="s">
        <v>919</v>
      </c>
      <c r="R176" s="22" t="s">
        <v>920</v>
      </c>
      <c r="S176" s="22" t="s">
        <v>921</v>
      </c>
      <c r="T176" s="22" t="s">
        <v>922</v>
      </c>
      <c r="U176" s="22" t="s">
        <v>923</v>
      </c>
      <c r="V176" s="22" t="s">
        <v>924</v>
      </c>
      <c r="AA176" s="22"/>
      <c r="AG176"/>
    </row>
    <row r="177" spans="2:33" x14ac:dyDescent="0.2">
      <c r="B177" s="12">
        <v>0</v>
      </c>
      <c r="C177" s="12">
        <v>0</v>
      </c>
      <c r="D177" s="1"/>
      <c r="E177" s="1"/>
      <c r="F177" s="2" t="s">
        <v>39</v>
      </c>
      <c r="G177" s="2">
        <v>0.05</v>
      </c>
      <c r="H177" s="2"/>
      <c r="I177" s="1"/>
      <c r="J177" s="312">
        <v>0</v>
      </c>
      <c r="K177" s="314">
        <v>0</v>
      </c>
      <c r="L177" s="313">
        <v>0</v>
      </c>
      <c r="M177" s="311">
        <v>0</v>
      </c>
      <c r="N177" s="1" t="str">
        <f>IF(Francais,"Système STD4800 Avec Scanner","System With STD4800 Scanner")</f>
        <v>Système STD4800 Avec Scanner</v>
      </c>
      <c r="O177" s="1" t="str">
        <f>IF(Francais,"Système STD4800 Avec Scanner","System With STD4800 Scanner")</f>
        <v>Système STD4800 Avec Scanner</v>
      </c>
      <c r="P177" s="1" t="str">
        <f>IF(Francais,"Système STD4800 Avec Scanner","System With STD4800 Scanner")</f>
        <v>Système STD4800 Avec Scanner</v>
      </c>
      <c r="Q177" s="1">
        <v>1</v>
      </c>
      <c r="R177" s="1">
        <v>1</v>
      </c>
      <c r="S177" s="1" t="s">
        <v>215</v>
      </c>
      <c r="T177" s="21" t="str">
        <f>IF(Francais,"24 MP DSLR","24 MP DSLR")</f>
        <v>24 MP DSLR</v>
      </c>
      <c r="U177" s="1" t="s">
        <v>2</v>
      </c>
      <c r="V177" s="783"/>
      <c r="AA177" s="22"/>
      <c r="AG177"/>
    </row>
    <row r="178" spans="2:33" x14ac:dyDescent="0.2">
      <c r="B178" s="12">
        <v>1</v>
      </c>
      <c r="C178" s="12">
        <v>1</v>
      </c>
      <c r="D178" s="1"/>
      <c r="E178" s="1"/>
      <c r="F178" s="2" t="s">
        <v>40</v>
      </c>
      <c r="G178" s="2">
        <v>0.05</v>
      </c>
      <c r="H178" s="2"/>
      <c r="I178" s="1"/>
      <c r="J178" s="312">
        <v>1</v>
      </c>
      <c r="K178" s="314">
        <f>IF(QUOTE_SameClient=TRUE,TableLists[[#This Row],[Column9]],1)</f>
        <v>1</v>
      </c>
      <c r="L178" s="313">
        <v>0.2</v>
      </c>
      <c r="M178" s="311">
        <f>IF(QUOTE_SameClient=TRUE,TableLists[[#This Row],[Column11]],1)</f>
        <v>0.2</v>
      </c>
      <c r="N178" s="369" t="str">
        <f>IF(Francais,"Système LA2400 Avec Scanner","System With LA2400 Scanner")</f>
        <v>Système LA2400 Avec Scanner</v>
      </c>
      <c r="O178" s="369" t="str">
        <f>IF(Francais,"Système LA2400 Avec Scanner et LS","System With LA2400 Scanner and SLS")</f>
        <v>Système LA2400 Avec Scanner et LS</v>
      </c>
      <c r="P178" s="369" t="str">
        <f>IF(Francais,"Système LA2400 Avec Scanner","System With LA2400 Scanner")</f>
        <v>Système LA2400 Avec Scanner</v>
      </c>
      <c r="Q178" s="1">
        <v>2</v>
      </c>
      <c r="R178" s="1">
        <v>2</v>
      </c>
      <c r="S178" s="1" t="s">
        <v>216</v>
      </c>
      <c r="T178" s="21" t="str">
        <f>IF(Francais,"24 MP Mini","24 MP Mini")</f>
        <v>24 MP Mini</v>
      </c>
      <c r="U178" s="1" t="s">
        <v>776</v>
      </c>
      <c r="V178" s="783"/>
      <c r="AA178" s="30"/>
      <c r="AG178"/>
    </row>
    <row r="179" spans="2:33" x14ac:dyDescent="0.2">
      <c r="B179" s="12">
        <v>2</v>
      </c>
      <c r="C179" s="12">
        <v>2</v>
      </c>
      <c r="D179" s="1"/>
      <c r="E179" s="1"/>
      <c r="F179" s="2" t="s">
        <v>41</v>
      </c>
      <c r="G179" s="2">
        <v>0.05</v>
      </c>
      <c r="H179" s="2"/>
      <c r="I179" s="1"/>
      <c r="J179" s="312">
        <v>0.9</v>
      </c>
      <c r="K179" s="314">
        <f>IF(QUOTE_SameClient=TRUE,TableLists[[#This Row],[Column9]],1)</f>
        <v>0.9</v>
      </c>
      <c r="L179" s="313">
        <v>0.4</v>
      </c>
      <c r="M179" s="311">
        <f>IF(QUOTE_SameClient=TRUE,TableLists[[#This Row],[Column11]],1)</f>
        <v>0.4</v>
      </c>
      <c r="N179" s="369" t="str">
        <f>IF(Francais,"Système LA2400 Avec Scanner et LS","System With LA2400 Scanner and SLS")</f>
        <v>Système LA2400 Avec Scanner et LS</v>
      </c>
      <c r="O179" s="1" t="str">
        <f>IF(Francais,"Système Sans Scanner (STD)","System Without Scanner (STD)")</f>
        <v>Système Sans Scanner (STD)</v>
      </c>
      <c r="P179" s="369" t="str">
        <f>IF(Francais,"Système LA2400 Avec Scanner et LS","System With LA2400 Scanner and SLS")</f>
        <v>Système LA2400 Avec Scanner et LS</v>
      </c>
      <c r="Q179" s="1">
        <v>3</v>
      </c>
      <c r="R179" s="1">
        <v>3</v>
      </c>
      <c r="S179" s="1" t="s">
        <v>217</v>
      </c>
      <c r="T179" s="21"/>
      <c r="U179" s="1" t="s">
        <v>3</v>
      </c>
      <c r="V179" s="783"/>
      <c r="AA179" s="30"/>
      <c r="AG179"/>
    </row>
    <row r="180" spans="2:33" x14ac:dyDescent="0.2">
      <c r="B180" s="12">
        <v>3</v>
      </c>
      <c r="C180" s="12">
        <v>3</v>
      </c>
      <c r="D180" s="1"/>
      <c r="E180" s="1"/>
      <c r="F180" s="2" t="s">
        <v>42</v>
      </c>
      <c r="G180" s="2"/>
      <c r="H180" s="2">
        <v>0.15</v>
      </c>
      <c r="I180" s="1"/>
      <c r="J180" s="312">
        <v>0.8</v>
      </c>
      <c r="K180" s="314">
        <f>IF(QUOTE_SameClient=TRUE,TableLists[[#This Row],[Column9]],1)</f>
        <v>0.8</v>
      </c>
      <c r="L180" s="313">
        <v>0.6</v>
      </c>
      <c r="M180" s="311">
        <f>IF(QUOTE_SameClient=TRUE,TableLists[[#This Row],[Column11]],1)</f>
        <v>0.6</v>
      </c>
      <c r="N180" s="1" t="str">
        <f>IF(Francais,"Système Sans Scanner","System Without Scanner")</f>
        <v>Système Sans Scanner</v>
      </c>
      <c r="O180" s="1" t="str">
        <f>IF(Francais,"Système Sans Scanner (LA)","System Without Scanner (LA)")</f>
        <v>Système Sans Scanner (LA)</v>
      </c>
      <c r="P180" s="1" t="str">
        <f>IF(Francais,"Système Sans Scanner (STD)","System Without Scanner (STD)")</f>
        <v>Système Sans Scanner (STD)</v>
      </c>
      <c r="Q180" s="1">
        <v>4</v>
      </c>
      <c r="R180" s="1">
        <v>4</v>
      </c>
      <c r="S180" s="1"/>
      <c r="T180" s="21"/>
      <c r="U180" s="1"/>
      <c r="V180" s="783"/>
      <c r="AA180" s="22"/>
      <c r="AG180"/>
    </row>
    <row r="181" spans="2:33" x14ac:dyDescent="0.2">
      <c r="B181" s="12">
        <v>4</v>
      </c>
      <c r="C181" s="12">
        <v>4</v>
      </c>
      <c r="D181" s="1"/>
      <c r="E181" s="1"/>
      <c r="F181" s="2" t="s">
        <v>43</v>
      </c>
      <c r="G181" s="2"/>
      <c r="H181" s="2">
        <v>0.15</v>
      </c>
      <c r="I181" s="1"/>
      <c r="J181" s="312">
        <v>0.7</v>
      </c>
      <c r="K181" s="314">
        <f>IF(QUOTE_SameClient=TRUE,TableLists[[#This Row],[Column9]],1)</f>
        <v>0.7</v>
      </c>
      <c r="L181" s="313">
        <v>0.6</v>
      </c>
      <c r="M181" s="311">
        <f>IF(QUOTE_SameClient=TRUE,TableLists[[#This Row],[Column11]],1)</f>
        <v>0.6</v>
      </c>
      <c r="N181" s="1"/>
      <c r="O181" s="1"/>
      <c r="P181" s="1" t="str">
        <f>IF(Francais,"Système Sans Scanner (LA)","System Without Scanner (LA)")</f>
        <v>Système Sans Scanner (LA)</v>
      </c>
      <c r="Q181" s="1">
        <v>1</v>
      </c>
      <c r="R181" s="1">
        <v>5</v>
      </c>
      <c r="S181" s="1"/>
      <c r="T181" s="21"/>
      <c r="U181" s="1"/>
      <c r="V181" s="1"/>
      <c r="AA181" s="22"/>
      <c r="AG181"/>
    </row>
    <row r="182" spans="2:33" x14ac:dyDescent="0.2">
      <c r="B182" s="12"/>
      <c r="C182" s="12">
        <v>5</v>
      </c>
      <c r="D182" s="1"/>
      <c r="E182" s="1"/>
      <c r="F182" s="2" t="s">
        <v>44</v>
      </c>
      <c r="G182" s="2">
        <v>0.05</v>
      </c>
      <c r="H182" s="2"/>
      <c r="I182" s="1"/>
      <c r="J182" s="312">
        <v>0.6</v>
      </c>
      <c r="K182" s="314">
        <f>IF(QUOTE_SameClient=TRUE,TableLists[[#This Row],[Column9]],1)</f>
        <v>0.6</v>
      </c>
      <c r="L182" s="313">
        <v>0.6</v>
      </c>
      <c r="M182" s="311">
        <f>IF(QUOTE_SameClient=TRUE,TableLists[[#This Row],[Column11]],1)</f>
        <v>0.6</v>
      </c>
      <c r="N182" s="1"/>
      <c r="O182" s="1"/>
      <c r="P182" s="1"/>
      <c r="Q182" s="1">
        <v>2</v>
      </c>
      <c r="R182" s="1">
        <v>1</v>
      </c>
      <c r="S182" s="1"/>
      <c r="T182" s="21"/>
      <c r="U182" s="783"/>
      <c r="V182" s="783"/>
      <c r="AA182" s="22"/>
      <c r="AG182"/>
    </row>
    <row r="183" spans="2:33" x14ac:dyDescent="0.2">
      <c r="B183" s="12"/>
      <c r="C183" s="12">
        <v>6</v>
      </c>
      <c r="D183" s="1"/>
      <c r="E183" s="1"/>
      <c r="F183" s="2" t="s">
        <v>45</v>
      </c>
      <c r="G183" s="2"/>
      <c r="H183" s="2">
        <v>0.15</v>
      </c>
      <c r="I183" s="1"/>
      <c r="J183" s="312">
        <v>0.5</v>
      </c>
      <c r="K183" s="314">
        <f>IF(QUOTE_SameClient=TRUE,TableLists[[#This Row],[Column9]],1)</f>
        <v>0.5</v>
      </c>
      <c r="L183" s="313">
        <v>0.6</v>
      </c>
      <c r="M183" s="311">
        <f>IF(QUOTE_SameClient=TRUE,TableLists[[#This Row],[Column11]],1)</f>
        <v>0.6</v>
      </c>
      <c r="N183" s="1"/>
      <c r="O183" s="1"/>
      <c r="P183" s="1"/>
      <c r="Q183" s="1">
        <v>3</v>
      </c>
      <c r="R183" s="1">
        <v>2</v>
      </c>
      <c r="S183" s="1"/>
      <c r="T183" s="21"/>
      <c r="U183" s="783"/>
      <c r="V183" s="783"/>
      <c r="AA183" s="22"/>
      <c r="AG183"/>
    </row>
    <row r="184" spans="2:33" x14ac:dyDescent="0.2">
      <c r="B184" s="1"/>
      <c r="C184" s="1">
        <v>7</v>
      </c>
      <c r="D184" s="1"/>
      <c r="E184" s="1"/>
      <c r="F184" s="2" t="s">
        <v>46</v>
      </c>
      <c r="G184" s="2">
        <v>0.05</v>
      </c>
      <c r="H184" s="2"/>
      <c r="I184" s="1"/>
      <c r="J184" s="312">
        <v>0.4</v>
      </c>
      <c r="K184" s="314">
        <f>IF(QUOTE_SameClient=TRUE,TableLists[[#This Row],[Column9]],1)</f>
        <v>0.4</v>
      </c>
      <c r="L184" s="313">
        <v>0.6</v>
      </c>
      <c r="M184" s="311">
        <f>IF(QUOTE_SameClient=TRUE,TableLists[[#This Row],[Column11]],1)</f>
        <v>0.6</v>
      </c>
      <c r="N184" s="1"/>
      <c r="O184" s="1"/>
      <c r="P184" s="1"/>
      <c r="Q184" s="1">
        <v>4</v>
      </c>
      <c r="R184" s="1">
        <v>3</v>
      </c>
      <c r="S184" s="1"/>
      <c r="T184" s="21"/>
      <c r="U184" s="783"/>
      <c r="V184" s="783"/>
      <c r="AA184" s="22"/>
      <c r="AG184"/>
    </row>
    <row r="185" spans="2:33" x14ac:dyDescent="0.2">
      <c r="B185" s="1"/>
      <c r="C185" s="1">
        <v>8</v>
      </c>
      <c r="D185" s="1"/>
      <c r="E185" s="1"/>
      <c r="F185" s="2" t="s">
        <v>47</v>
      </c>
      <c r="G185" s="2"/>
      <c r="H185" s="2">
        <v>0.13</v>
      </c>
      <c r="I185" s="1"/>
      <c r="J185" s="312">
        <v>0.4</v>
      </c>
      <c r="K185" s="314">
        <f>IF(QUOTE_SameClient=TRUE,TableLists[[#This Row],[Column9]],1)</f>
        <v>0.4</v>
      </c>
      <c r="L185" s="1"/>
      <c r="M185" s="1"/>
      <c r="N185" s="1"/>
      <c r="O185" s="1"/>
      <c r="P185" s="1"/>
      <c r="Q185" s="1">
        <v>1</v>
      </c>
      <c r="R185" s="1">
        <v>4</v>
      </c>
      <c r="S185" s="1"/>
      <c r="T185" s="21"/>
      <c r="U185" s="783"/>
      <c r="V185" s="783"/>
      <c r="AA185" s="22"/>
      <c r="AG185"/>
    </row>
    <row r="186" spans="2:33" x14ac:dyDescent="0.2">
      <c r="B186" s="1"/>
      <c r="C186" s="1">
        <v>9</v>
      </c>
      <c r="D186" s="1"/>
      <c r="E186" s="1"/>
      <c r="F186" s="2" t="s">
        <v>48</v>
      </c>
      <c r="G186" s="2"/>
      <c r="H186" s="2">
        <v>0.15</v>
      </c>
      <c r="I186" s="1"/>
      <c r="J186" s="312">
        <v>0.4</v>
      </c>
      <c r="K186" s="314">
        <f>IF(QUOTE_SameClient=TRUE,TableLists[[#This Row],[Column9]],1)</f>
        <v>0.4</v>
      </c>
      <c r="L186" s="1"/>
      <c r="M186" s="1"/>
      <c r="N186" s="1"/>
      <c r="O186" s="1"/>
      <c r="P186" s="1"/>
      <c r="Q186" s="1">
        <v>2</v>
      </c>
      <c r="R186" s="1">
        <v>5</v>
      </c>
      <c r="S186" s="1"/>
      <c r="T186" s="21"/>
      <c r="U186" s="783"/>
      <c r="V186" s="783"/>
      <c r="AA186" s="22"/>
      <c r="AG186"/>
    </row>
    <row r="187" spans="2:33" x14ac:dyDescent="0.2">
      <c r="B187" s="1"/>
      <c r="C187" s="1">
        <v>10</v>
      </c>
      <c r="D187" s="1"/>
      <c r="E187" s="1"/>
      <c r="F187" s="2" t="s">
        <v>38</v>
      </c>
      <c r="G187" s="2">
        <v>0.05</v>
      </c>
      <c r="H187" s="2">
        <v>9.9750000000000005E-2</v>
      </c>
      <c r="I187" s="1"/>
      <c r="J187" s="312">
        <v>0.4</v>
      </c>
      <c r="K187" s="314">
        <f>IF(QUOTE_SameClient=TRUE,TableLists[[#This Row],[Column9]],1)</f>
        <v>0.4</v>
      </c>
      <c r="L187" s="1"/>
      <c r="M187" s="1"/>
      <c r="N187" s="1"/>
      <c r="O187" s="1"/>
      <c r="P187" s="1"/>
      <c r="Q187" s="1">
        <v>3</v>
      </c>
      <c r="R187" s="1">
        <v>1</v>
      </c>
      <c r="S187" s="1"/>
      <c r="T187" s="21"/>
      <c r="U187" s="783"/>
      <c r="V187" s="783"/>
      <c r="AA187" s="22"/>
      <c r="AG187"/>
    </row>
    <row r="188" spans="2:33" x14ac:dyDescent="0.2">
      <c r="B188" s="1"/>
      <c r="C188" s="1">
        <v>11</v>
      </c>
      <c r="D188" s="1"/>
      <c r="E188" s="1"/>
      <c r="F188" s="2" t="s">
        <v>49</v>
      </c>
      <c r="G188" s="2">
        <v>0.05</v>
      </c>
      <c r="H188" s="2"/>
      <c r="I188" s="1"/>
      <c r="J188" s="312">
        <v>0.4</v>
      </c>
      <c r="K188" s="314">
        <f>IF(QUOTE_SameClient=TRUE,TableLists[[#This Row],[Column9]],1)</f>
        <v>0.4</v>
      </c>
      <c r="L188" s="1"/>
      <c r="M188" s="1"/>
      <c r="N188" s="1"/>
      <c r="O188" s="1"/>
      <c r="P188" s="1"/>
      <c r="Q188" s="1">
        <v>4</v>
      </c>
      <c r="R188" s="1">
        <v>2</v>
      </c>
      <c r="S188" s="1"/>
      <c r="T188" s="21"/>
      <c r="U188" s="783"/>
      <c r="V188" s="783"/>
      <c r="AA188" s="22"/>
      <c r="AG188"/>
    </row>
    <row r="189" spans="2:33" x14ac:dyDescent="0.2">
      <c r="B189" s="1"/>
      <c r="C189" s="1">
        <v>12</v>
      </c>
      <c r="D189" s="1"/>
      <c r="E189" s="1"/>
      <c r="F189" s="2" t="s">
        <v>50</v>
      </c>
      <c r="G189" s="2">
        <v>0.05</v>
      </c>
      <c r="H189" s="2"/>
      <c r="I189" s="1"/>
      <c r="J189" s="312">
        <v>0.4</v>
      </c>
      <c r="K189" s="314">
        <f>IF(QUOTE_SameClient=TRUE,TableLists[[#This Row],[Column9]],1)</f>
        <v>0.4</v>
      </c>
      <c r="L189" s="1"/>
      <c r="M189" s="1"/>
      <c r="N189" s="1"/>
      <c r="O189" s="1"/>
      <c r="P189" s="1"/>
      <c r="Q189" s="1">
        <v>1</v>
      </c>
      <c r="R189" s="1">
        <v>3</v>
      </c>
      <c r="S189" s="1"/>
      <c r="T189" s="21"/>
      <c r="U189" s="783"/>
      <c r="V189" s="783"/>
      <c r="AA189" s="22"/>
      <c r="AG189"/>
    </row>
    <row r="190" spans="2:33" x14ac:dyDescent="0.2">
      <c r="B190" s="1"/>
      <c r="C190" s="1">
        <v>13</v>
      </c>
      <c r="D190" s="1"/>
      <c r="E190" s="1"/>
      <c r="F190" s="2" t="s">
        <v>51</v>
      </c>
      <c r="G190" s="2">
        <f>G187</f>
        <v>0.05</v>
      </c>
      <c r="H190" s="2">
        <f>H187</f>
        <v>9.9750000000000005E-2</v>
      </c>
      <c r="I190" s="1"/>
      <c r="J190" s="312">
        <v>0.4</v>
      </c>
      <c r="K190" s="314">
        <f>IF(QUOTE_SameClient=TRUE,TableLists[[#This Row],[Column9]],1)</f>
        <v>0.4</v>
      </c>
      <c r="L190" s="1"/>
      <c r="M190" s="1"/>
      <c r="N190" s="1"/>
      <c r="O190" s="1"/>
      <c r="P190" s="1"/>
      <c r="Q190" s="1">
        <v>2</v>
      </c>
      <c r="R190" s="1">
        <v>4</v>
      </c>
      <c r="S190" s="1"/>
      <c r="T190" s="21"/>
      <c r="U190" s="783"/>
      <c r="V190" s="783"/>
      <c r="AA190" s="22"/>
      <c r="AG190"/>
    </row>
    <row r="191" spans="2:33" x14ac:dyDescent="0.2">
      <c r="B191" s="1"/>
      <c r="C191" s="1">
        <v>14</v>
      </c>
      <c r="D191" s="1"/>
      <c r="E191" s="1"/>
      <c r="F191" s="2"/>
      <c r="G191" s="2"/>
      <c r="H191" s="2"/>
      <c r="I191" s="1"/>
      <c r="J191" s="312">
        <v>0.4</v>
      </c>
      <c r="K191" s="314">
        <f>IF(QUOTE_SameClient=TRUE,TableLists[[#This Row],[Column9]],1)</f>
        <v>0.4</v>
      </c>
      <c r="L191" s="1"/>
      <c r="M191" s="1"/>
      <c r="N191" s="1"/>
      <c r="O191" s="1"/>
      <c r="P191" s="1"/>
      <c r="Q191" s="1">
        <v>3</v>
      </c>
      <c r="R191" s="1">
        <v>5</v>
      </c>
      <c r="S191" s="1"/>
      <c r="T191" s="21"/>
      <c r="U191" s="783"/>
      <c r="V191" s="783"/>
      <c r="AA191" s="22"/>
      <c r="AG191"/>
    </row>
    <row r="192" spans="2:33" x14ac:dyDescent="0.2">
      <c r="B192" s="1"/>
      <c r="C192" s="1">
        <v>15</v>
      </c>
      <c r="D192" s="1"/>
      <c r="E192" s="1"/>
      <c r="F192" s="2"/>
      <c r="G192" s="2"/>
      <c r="H192" s="2"/>
      <c r="I192" s="1"/>
      <c r="J192" s="312">
        <v>0.4</v>
      </c>
      <c r="K192" s="314">
        <f>IF(QUOTE_SameClient=TRUE,TableLists[[#This Row],[Column9]],1)</f>
        <v>0.4</v>
      </c>
      <c r="L192" s="1"/>
      <c r="M192" s="1"/>
      <c r="N192" s="1"/>
      <c r="O192" s="1"/>
      <c r="P192" s="1"/>
      <c r="Q192" s="1">
        <v>4</v>
      </c>
      <c r="R192" s="1">
        <v>1</v>
      </c>
      <c r="S192" s="1"/>
      <c r="T192" s="21"/>
      <c r="U192" s="783"/>
      <c r="V192" s="783"/>
      <c r="AA192" s="22"/>
      <c r="AG192"/>
    </row>
    <row r="193" spans="2:33" x14ac:dyDescent="0.2">
      <c r="B193" s="1"/>
      <c r="C193" s="1">
        <v>16</v>
      </c>
      <c r="D193" s="1"/>
      <c r="E193" s="1"/>
      <c r="F193" s="2"/>
      <c r="G193" s="2"/>
      <c r="H193" s="2"/>
      <c r="I193" s="1"/>
      <c r="J193" s="312">
        <v>0.4</v>
      </c>
      <c r="K193" s="314">
        <f>IF(QUOTE_SameClient=TRUE,TableLists[[#This Row],[Column9]],1)</f>
        <v>0.4</v>
      </c>
      <c r="L193" s="1"/>
      <c r="M193" s="1"/>
      <c r="N193" s="1"/>
      <c r="O193" s="1"/>
      <c r="P193" s="1"/>
      <c r="Q193" s="1"/>
      <c r="R193" s="1">
        <v>2</v>
      </c>
      <c r="S193" s="1"/>
      <c r="T193" s="21"/>
      <c r="U193" s="783"/>
      <c r="V193" s="783"/>
      <c r="AA193" s="22"/>
      <c r="AG193"/>
    </row>
    <row r="194" spans="2:33" x14ac:dyDescent="0.2">
      <c r="B194" s="1"/>
      <c r="C194" s="1">
        <v>17</v>
      </c>
      <c r="D194" s="1"/>
      <c r="E194" s="1"/>
      <c r="F194" s="2"/>
      <c r="G194" s="2"/>
      <c r="H194" s="2"/>
      <c r="I194" s="1"/>
      <c r="J194" s="312">
        <v>0.4</v>
      </c>
      <c r="K194" s="314">
        <f>IF(QUOTE_SameClient=TRUE,TableLists[[#This Row],[Column9]],1)</f>
        <v>0.4</v>
      </c>
      <c r="L194" s="1"/>
      <c r="M194" s="1"/>
      <c r="N194" s="1"/>
      <c r="O194" s="1"/>
      <c r="P194" s="1"/>
      <c r="Q194" s="1"/>
      <c r="R194" s="1">
        <v>3</v>
      </c>
      <c r="S194" s="1"/>
      <c r="T194" s="21"/>
      <c r="U194" s="783"/>
      <c r="V194" s="783"/>
      <c r="AA194" s="22"/>
      <c r="AG194"/>
    </row>
    <row r="195" spans="2:33" x14ac:dyDescent="0.2">
      <c r="B195" s="1"/>
      <c r="C195" s="1">
        <v>18</v>
      </c>
      <c r="D195" s="1"/>
      <c r="E195" s="1"/>
      <c r="F195" s="2"/>
      <c r="G195" s="2"/>
      <c r="H195" s="2"/>
      <c r="I195" s="1"/>
      <c r="J195" s="312">
        <v>0.4</v>
      </c>
      <c r="K195" s="314">
        <f>IF(QUOTE_SameClient=TRUE,TableLists[[#This Row],[Column9]],1)</f>
        <v>0.4</v>
      </c>
      <c r="L195" s="1"/>
      <c r="M195" s="1"/>
      <c r="N195" s="1"/>
      <c r="O195" s="1"/>
      <c r="P195" s="1"/>
      <c r="Q195" s="1"/>
      <c r="R195" s="1">
        <v>4</v>
      </c>
      <c r="S195" s="1"/>
      <c r="T195" s="21"/>
      <c r="U195" s="783"/>
      <c r="V195" s="783"/>
      <c r="AA195" s="22"/>
      <c r="AG195"/>
    </row>
    <row r="196" spans="2:33" x14ac:dyDescent="0.2">
      <c r="B196" s="1"/>
      <c r="C196" s="1">
        <v>19</v>
      </c>
      <c r="D196" s="1"/>
      <c r="E196" s="1"/>
      <c r="F196" s="2"/>
      <c r="G196" s="2"/>
      <c r="H196" s="2"/>
      <c r="I196" s="1"/>
      <c r="J196" s="312">
        <v>0.4</v>
      </c>
      <c r="K196" s="314">
        <f>IF(QUOTE_SameClient=TRUE,TableLists[[#This Row],[Column9]],1)</f>
        <v>0.4</v>
      </c>
      <c r="L196" s="1"/>
      <c r="M196" s="1"/>
      <c r="N196" s="1"/>
      <c r="O196" s="1"/>
      <c r="P196" s="1"/>
      <c r="Q196" s="1"/>
      <c r="R196" s="1">
        <v>5</v>
      </c>
      <c r="S196" s="1"/>
      <c r="T196" s="21"/>
      <c r="U196" s="783"/>
      <c r="V196" s="783"/>
      <c r="AA196" s="22"/>
      <c r="AG196"/>
    </row>
    <row r="197" spans="2:33" x14ac:dyDescent="0.2">
      <c r="B197" s="1"/>
      <c r="C197" s="1">
        <v>20</v>
      </c>
      <c r="D197" s="1"/>
      <c r="E197" s="1"/>
      <c r="F197" s="2"/>
      <c r="G197" s="2"/>
      <c r="H197" s="2"/>
      <c r="I197" s="1"/>
      <c r="J197" s="312">
        <v>0.4</v>
      </c>
      <c r="K197" s="314">
        <f>IF(QUOTE_SameClient=TRUE,TableLists[[#This Row],[Column9]],1)</f>
        <v>0.4</v>
      </c>
      <c r="L197" s="1"/>
      <c r="M197" s="1"/>
      <c r="N197" s="1"/>
      <c r="O197" s="1"/>
      <c r="P197" s="1"/>
      <c r="Q197" s="1"/>
      <c r="R197" s="1"/>
      <c r="S197" s="1"/>
      <c r="T197" s="21"/>
      <c r="U197" s="783"/>
      <c r="V197" s="783"/>
      <c r="AA197" s="22"/>
      <c r="AG197"/>
    </row>
    <row r="198" spans="2:33" x14ac:dyDescent="0.2">
      <c r="D198" s="24"/>
      <c r="E198" s="24"/>
      <c r="F198" s="24"/>
      <c r="G198" s="24"/>
      <c r="H198" s="24"/>
      <c r="I198" s="24"/>
      <c r="J198" s="24"/>
      <c r="K198" s="24"/>
      <c r="L198" s="31"/>
      <c r="M198" s="31"/>
      <c r="N198" s="31"/>
    </row>
    <row r="199" spans="2:33" x14ac:dyDescent="0.2">
      <c r="B199" s="22" t="s">
        <v>244</v>
      </c>
      <c r="C199" s="30" t="s">
        <v>7</v>
      </c>
      <c r="D199" s="24"/>
      <c r="E199" s="24"/>
      <c r="F199" s="24"/>
      <c r="G199" s="24"/>
      <c r="H199" s="24"/>
      <c r="I199" s="24"/>
      <c r="J199" s="24"/>
      <c r="K199" s="24"/>
    </row>
    <row r="200" spans="2:33" x14ac:dyDescent="0.2">
      <c r="C200" s="17">
        <v>20</v>
      </c>
      <c r="D200" s="24"/>
      <c r="E200" s="24"/>
      <c r="F200" s="24"/>
      <c r="G200" s="24"/>
      <c r="H200" s="24"/>
      <c r="I200" s="24"/>
      <c r="J200" s="24"/>
      <c r="K200" s="24"/>
      <c r="L200" s="21"/>
      <c r="M200" s="21"/>
      <c r="N200" s="21"/>
    </row>
    <row r="201" spans="2:33" x14ac:dyDescent="0.2">
      <c r="C201" s="38">
        <v>0.5</v>
      </c>
      <c r="D201" s="24"/>
      <c r="E201" s="24"/>
      <c r="F201" s="24"/>
      <c r="G201" s="24"/>
      <c r="H201" s="24"/>
      <c r="I201" s="24"/>
      <c r="J201" s="24"/>
      <c r="K201" s="24"/>
      <c r="L201" s="21"/>
      <c r="M201" s="21"/>
      <c r="N201" s="21"/>
    </row>
    <row r="202" spans="2:33" x14ac:dyDescent="0.2">
      <c r="C202" s="17">
        <v>300</v>
      </c>
      <c r="D202" s="24"/>
      <c r="E202" s="24"/>
      <c r="F202" s="24"/>
      <c r="G202" s="24"/>
      <c r="H202" s="24"/>
      <c r="I202" s="24"/>
      <c r="J202" s="24"/>
      <c r="K202" s="24"/>
      <c r="L202" s="31"/>
      <c r="M202" s="31"/>
      <c r="N202" s="31"/>
    </row>
    <row r="203" spans="2:33" x14ac:dyDescent="0.2">
      <c r="C203" s="30">
        <v>100</v>
      </c>
      <c r="D203" s="24"/>
      <c r="E203" s="24"/>
      <c r="F203" s="24"/>
      <c r="G203" s="24"/>
      <c r="H203" s="24"/>
      <c r="I203" s="24"/>
      <c r="J203" s="24"/>
      <c r="K203" s="24"/>
      <c r="L203" s="31"/>
      <c r="M203" s="31"/>
      <c r="N203" s="31"/>
    </row>
    <row r="204" spans="2:33" x14ac:dyDescent="0.2">
      <c r="D204" s="24"/>
      <c r="E204" s="24"/>
      <c r="F204" s="24"/>
      <c r="G204" s="24"/>
      <c r="H204" s="24"/>
      <c r="I204" s="24"/>
      <c r="J204" s="24"/>
      <c r="K204" s="24"/>
      <c r="L204" s="31"/>
      <c r="M204" s="31"/>
      <c r="N204" s="31"/>
    </row>
    <row r="205" spans="2:33" x14ac:dyDescent="0.2">
      <c r="D205" s="24"/>
      <c r="E205" s="24"/>
      <c r="F205" s="24"/>
      <c r="G205" s="24"/>
      <c r="H205" s="24"/>
      <c r="I205" s="24"/>
      <c r="J205" s="24"/>
      <c r="K205" s="24"/>
      <c r="L205" s="31"/>
      <c r="M205" s="31"/>
      <c r="N205" s="31"/>
    </row>
    <row r="206" spans="2:33" x14ac:dyDescent="0.2">
      <c r="B206" s="22" t="s">
        <v>159</v>
      </c>
      <c r="C206" s="932" t="str">
        <f>"Liste de prix interactive d'Instruments Regent " &amp; YearOfList</f>
        <v>Liste de prix interactive d'Instruments Regent 2026</v>
      </c>
      <c r="D206" s="932"/>
      <c r="E206" s="932"/>
      <c r="F206" s="932"/>
      <c r="G206" s="932"/>
      <c r="H206" s="932"/>
      <c r="I206" s="932"/>
      <c r="J206" s="24"/>
      <c r="K206" s="841" t="str">
        <f>REPT(" ",4) &amp; IF(NOT(Francais),"Internet Download","Téléchargement")</f>
        <v xml:space="preserve">    Téléchargement</v>
      </c>
      <c r="L206" s="841"/>
      <c r="M206" s="31"/>
      <c r="N206" s="31"/>
    </row>
    <row r="207" spans="2:33" x14ac:dyDescent="0.2">
      <c r="B207" s="22" t="s">
        <v>160</v>
      </c>
      <c r="C207" s="932" t="str">
        <f>"Regent Instruments interactive price list " &amp; YearOfList</f>
        <v>Regent Instruments interactive price list 2026</v>
      </c>
      <c r="D207" s="932"/>
      <c r="E207" s="932"/>
      <c r="F207" s="932"/>
      <c r="G207" s="932"/>
      <c r="H207" s="932"/>
      <c r="I207" s="932"/>
      <c r="J207" s="24"/>
      <c r="K207" s="570" t="s">
        <v>751</v>
      </c>
      <c r="L207" s="31"/>
      <c r="M207" s="31"/>
      <c r="N207" s="31"/>
      <c r="R207" s="570" t="s">
        <v>752</v>
      </c>
    </row>
    <row r="208" spans="2:33" ht="293.25" customHeight="1" x14ac:dyDescent="0.2">
      <c r="B208" s="339" t="s">
        <v>157</v>
      </c>
      <c r="C208" s="931" t="s">
        <v>755</v>
      </c>
      <c r="D208" s="931"/>
      <c r="E208" s="931"/>
      <c r="F208" s="931"/>
      <c r="G208" s="931"/>
      <c r="H208" s="931"/>
      <c r="I208" s="931"/>
      <c r="J208" s="931" t="s">
        <v>755</v>
      </c>
      <c r="K208" s="931"/>
      <c r="L208" s="931"/>
      <c r="M208" s="931"/>
      <c r="N208" s="931"/>
      <c r="O208" s="931"/>
      <c r="P208" s="931"/>
      <c r="Q208" s="931" t="s">
        <v>756</v>
      </c>
      <c r="R208" s="931"/>
      <c r="S208" s="931"/>
      <c r="T208" s="931"/>
      <c r="U208" s="931"/>
      <c r="V208" s="931"/>
      <c r="W208" s="931"/>
    </row>
    <row r="209" spans="2:23" ht="293.25" customHeight="1" x14ac:dyDescent="0.2">
      <c r="B209" s="339" t="s">
        <v>158</v>
      </c>
      <c r="C209" s="931" t="s">
        <v>760</v>
      </c>
      <c r="D209" s="931"/>
      <c r="E209" s="931"/>
      <c r="F209" s="931"/>
      <c r="G209" s="931"/>
      <c r="H209" s="931"/>
      <c r="I209" s="931"/>
      <c r="J209" s="931" t="s">
        <v>760</v>
      </c>
      <c r="K209" s="931"/>
      <c r="L209" s="931"/>
      <c r="M209" s="931"/>
      <c r="N209" s="931"/>
      <c r="O209" s="931"/>
      <c r="P209" s="931"/>
      <c r="Q209" s="931" t="s">
        <v>761</v>
      </c>
      <c r="R209" s="931"/>
      <c r="S209" s="931"/>
      <c r="T209" s="931"/>
      <c r="U209" s="931"/>
      <c r="V209" s="931"/>
      <c r="W209" s="931"/>
    </row>
    <row r="210" spans="2:23" ht="293.25" customHeight="1" x14ac:dyDescent="0.2">
      <c r="B210" s="339" t="s">
        <v>248</v>
      </c>
      <c r="C210" s="931" t="s">
        <v>758</v>
      </c>
      <c r="D210" s="931"/>
      <c r="E210" s="931"/>
      <c r="F210" s="931"/>
      <c r="G210" s="931"/>
      <c r="H210" s="931"/>
      <c r="I210" s="931"/>
      <c r="J210" s="931" t="s">
        <v>758</v>
      </c>
      <c r="K210" s="931"/>
      <c r="L210" s="931"/>
      <c r="M210" s="931"/>
      <c r="N210" s="931"/>
      <c r="O210" s="931"/>
      <c r="P210" s="931"/>
      <c r="Q210" s="931" t="s">
        <v>757</v>
      </c>
      <c r="R210" s="931"/>
      <c r="S210" s="931"/>
      <c r="T210" s="931"/>
      <c r="U210" s="931"/>
      <c r="V210" s="931"/>
      <c r="W210" s="931"/>
    </row>
    <row r="211" spans="2:23" ht="293.25" customHeight="1" x14ac:dyDescent="0.2">
      <c r="B211" s="339" t="s">
        <v>249</v>
      </c>
      <c r="C211" s="931" t="s">
        <v>759</v>
      </c>
      <c r="D211" s="931"/>
      <c r="E211" s="931"/>
      <c r="F211" s="931"/>
      <c r="G211" s="931"/>
      <c r="H211" s="931"/>
      <c r="I211" s="931"/>
      <c r="J211" s="931" t="s">
        <v>759</v>
      </c>
      <c r="K211" s="931"/>
      <c r="L211" s="931"/>
      <c r="M211" s="931"/>
      <c r="N211" s="931"/>
      <c r="O211" s="931"/>
      <c r="P211" s="931"/>
      <c r="Q211" s="931" t="s">
        <v>762</v>
      </c>
      <c r="R211" s="931"/>
      <c r="S211" s="931"/>
      <c r="T211" s="931"/>
      <c r="U211" s="931"/>
      <c r="V211" s="931"/>
      <c r="W211" s="931"/>
    </row>
    <row r="213" spans="2:23" ht="51" x14ac:dyDescent="0.2">
      <c r="B213" s="22" t="s">
        <v>163</v>
      </c>
      <c r="C213" s="347" t="str">
        <f>IF(Francais,
 "PAIEMENT COMPLET REÇU "&amp; TEXT(INV_PaidInFull_Date,"[$-0C0C]yyyy mmmm d") &amp;"
par " &amp; INV_PaidInFull_Methode &amp;"     Montant dû: 0",
"PAID IN FULL "&amp; TEXT(INV_PaidInFull_Date,"[$-1009]yyyy mmmm d") &amp;"
by " &amp; INV_PaidInFull_Methode &amp;"     Amount due: 0")</f>
        <v>PAIEMENT COMPLET REÇU 1900 janvier 0
par      Montant dû: 0</v>
      </c>
      <c r="D213" s="30" t="str">
        <f>IF(Francais,
 "PAIEMENT COMPLET REÇU "&amp; TEXT(INV_PaidInFull_Date2,"[$-0C0C]yyyy mmmm d") &amp;"
par " &amp; INV_PaidInFull_Methode2 &amp;"     Montant dû: 0",
"PAID IN FULL "&amp; TEXT(INV_PaidInFull_Date2,"[$-1009]yyyy mmmm d") &amp;"
by " &amp; INV_PaidInFull_Methode2 &amp;"     Amount due: 0")</f>
        <v>PAIEMENT COMPLET REÇU 2025 septembre 12
par Wire Transfer     Montant dû: 0</v>
      </c>
    </row>
    <row r="214" spans="2:23" x14ac:dyDescent="0.2">
      <c r="B214" s="22" t="s">
        <v>754</v>
      </c>
      <c r="C214" s="30" t="str">
        <f>IF(Francais,
 "Expédié "&amp; TEXT(INV_Shipped_Date,"[$-0C0C]yyyy mmmm d") &amp;"     par " &amp; INV_Shipped_Method &amp;"     AWB: " &amp; INV_TrackingNumber,
"Shipped "&amp; TEXT(INV_Shipped_Date,"[$-1009]yyyy mmmm d") &amp;"     by " &amp; INV_Shipped_Method &amp;"     AWB: " &amp; INV_TrackingNumber)</f>
        <v xml:space="preserve">Expédié 1900 janvier 0     par      AWB: </v>
      </c>
      <c r="D214" s="30" t="str">
        <f>IF(Francais,
 "Expédié "&amp; TEXT(INV_Shipped_Date2,"[$-0C0C]yyyy mmmm d") &amp;"     par " &amp; INV_Shipped_Method2 &amp;"     AWB: " &amp; INV_TrackingNumber2,
"Shipped "&amp; TEXT(INV_Shipped_Date2,"[$-1009]yyyy mmmm d") &amp;"     by " &amp; INV_Shipped_Method2 &amp;"     AWB: " &amp; INV_TrackingNumber2)</f>
        <v xml:space="preserve">Expédié 2026 février 18     par Fedex     AWB: </v>
      </c>
    </row>
    <row r="215" spans="2:23" ht="17" thickBot="1" x14ac:dyDescent="0.25">
      <c r="B215" s="22" t="s">
        <v>763</v>
      </c>
      <c r="C215" s="30" t="str">
        <f>IF(AND(QUOTE_InternetDownload,QUOTE_Split_SoftwareHardware),
IF(Francais,"Téléchargement Internet prêt le "&amp; TEXT(INV_Shipped_Date,"[$-0C0C]yyyy mmmm d"),
"Internet Download Ready on " &amp; TEXT(INV_Shipped_Date,"[$-1009]yyyy mmmm d")),
C214)</f>
        <v xml:space="preserve">Expédié 1900 janvier 0     par      AWB: </v>
      </c>
    </row>
    <row r="216" spans="2:23" x14ac:dyDescent="0.2">
      <c r="L216" s="550"/>
      <c r="M216" s="551"/>
      <c r="N216" s="551"/>
      <c r="O216" s="551"/>
      <c r="P216" s="552"/>
    </row>
    <row r="217" spans="2:23" x14ac:dyDescent="0.2">
      <c r="B217" s="22" t="s">
        <v>466</v>
      </c>
      <c r="C217" s="22" t="s">
        <v>465</v>
      </c>
      <c r="D217" s="30" t="s">
        <v>528</v>
      </c>
      <c r="E217" s="30" t="s">
        <v>677</v>
      </c>
      <c r="F217" s="22" t="s">
        <v>720</v>
      </c>
      <c r="H217" s="30" t="s">
        <v>682</v>
      </c>
      <c r="I217" s="30" t="s">
        <v>680</v>
      </c>
      <c r="J217" s="30" t="s">
        <v>681</v>
      </c>
      <c r="L217" s="553"/>
      <c r="M217" s="554" t="s">
        <v>717</v>
      </c>
      <c r="N217" s="554"/>
      <c r="O217" s="554"/>
      <c r="P217" s="555"/>
    </row>
    <row r="218" spans="2:23" x14ac:dyDescent="0.2">
      <c r="B218" s="475" t="s">
        <v>572</v>
      </c>
      <c r="C218" s="475">
        <v>99</v>
      </c>
      <c r="D218" s="475" t="s">
        <v>571</v>
      </c>
      <c r="F218" s="111"/>
      <c r="H218" s="475">
        <f>IF(ISNUMBER(SEARCH(HOME_Country,TablePays[[#This Row],[Country_Names]])),1,0)</f>
        <v>1</v>
      </c>
      <c r="I218" s="30" t="str">
        <f>IF(J218&lt;&gt;"",INDEX(TablePays[Country_Names],J218),"")</f>
        <v>Afghanistan</v>
      </c>
      <c r="J218" s="30">
        <f t="array" ref="J218">IFERROR(MATCH(0,COUNTIF($I$217:I217,TablePays[Country_Names])+IF($H$218:$H$423=0,1,0),0),"")</f>
        <v>1</v>
      </c>
      <c r="L218" s="553"/>
      <c r="M218" s="206" t="s">
        <v>2</v>
      </c>
      <c r="N218" s="556" t="str">
        <f>IF(Francais,"        Dollars Canadiens","Canadian Dollars")</f>
        <v xml:space="preserve">        Dollars Canadiens</v>
      </c>
      <c r="O218" s="554"/>
      <c r="P218" s="555"/>
    </row>
    <row r="219" spans="2:23" x14ac:dyDescent="0.2">
      <c r="B219" s="475" t="s">
        <v>598</v>
      </c>
      <c r="C219" s="475">
        <v>99</v>
      </c>
      <c r="D219" s="475" t="s">
        <v>476</v>
      </c>
      <c r="F219" s="111"/>
      <c r="H219" s="475">
        <f>IF(ISNUMBER(SEARCH(HOME_Country,TablePays[[#This Row],[Country_Names]])),1,0)</f>
        <v>1</v>
      </c>
      <c r="I219" s="30" t="str">
        <f>IF(J219&lt;&gt;"",INDEX(TablePays[Country_Names],J219),"")</f>
        <v>Albania</v>
      </c>
      <c r="J219" s="30">
        <f t="array" ref="J219">IFERROR(MATCH(0,COUNTIF($I$217:I218,TablePays[Country_Names])+IF($H$218:$H$423=0,1,0),0),"")</f>
        <v>2</v>
      </c>
      <c r="L219" s="553"/>
      <c r="M219" s="206" t="s">
        <v>3</v>
      </c>
      <c r="N219" s="557" t="s">
        <v>3</v>
      </c>
      <c r="O219" s="554"/>
      <c r="P219" s="555"/>
    </row>
    <row r="220" spans="2:23" x14ac:dyDescent="0.2">
      <c r="B220" s="475" t="s">
        <v>530</v>
      </c>
      <c r="C220" s="475">
        <v>99</v>
      </c>
      <c r="D220" s="475" t="s">
        <v>529</v>
      </c>
      <c r="F220" s="111"/>
      <c r="H220" s="475">
        <f>IF(ISNUMBER(SEARCH(HOME_Country,TablePays[[#This Row],[Country_Names]])),1,0)</f>
        <v>1</v>
      </c>
      <c r="I220" s="30" t="str">
        <f>IF(J220&lt;&gt;"",INDEX(TablePays[Country_Names],J220),"")</f>
        <v>Algeria</v>
      </c>
      <c r="J220" s="30">
        <f t="array" ref="J220">IFERROR(MATCH(0,COUNTIF($I$217:I219,TablePays[Country_Names])+IF($H$218:$H$423=0,1,0),0),"")</f>
        <v>3</v>
      </c>
      <c r="L220" s="553"/>
      <c r="M220" s="206" t="s">
        <v>4</v>
      </c>
      <c r="N220" s="557" t="s">
        <v>776</v>
      </c>
      <c r="O220" s="554"/>
      <c r="P220" s="555"/>
    </row>
    <row r="221" spans="2:23" x14ac:dyDescent="0.2">
      <c r="B221" s="475" t="s">
        <v>599</v>
      </c>
      <c r="C221" s="475">
        <v>99</v>
      </c>
      <c r="D221" s="475" t="s">
        <v>476</v>
      </c>
      <c r="F221" s="111"/>
      <c r="H221" s="475">
        <f>IF(ISNUMBER(SEARCH(HOME_Country,TablePays[[#This Row],[Country_Names]])),1,0)</f>
        <v>1</v>
      </c>
      <c r="I221" s="30" t="str">
        <f>IF(J221&lt;&gt;"",INDEX(TablePays[Country_Names],J221),"")</f>
        <v>Andorra</v>
      </c>
      <c r="J221" s="30">
        <f t="array" ref="J221">IFERROR(MATCH(0,COUNTIF($I$217:I220,TablePays[Country_Names])+IF($H$218:$H$423=0,1,0),0),"")</f>
        <v>4</v>
      </c>
      <c r="L221" s="553"/>
      <c r="M221" s="558"/>
      <c r="N221" s="554"/>
      <c r="O221" s="554"/>
      <c r="P221" s="555"/>
    </row>
    <row r="222" spans="2:23" x14ac:dyDescent="0.2">
      <c r="B222" s="475" t="s">
        <v>531</v>
      </c>
      <c r="C222" s="475">
        <v>99</v>
      </c>
      <c r="D222" s="475" t="s">
        <v>529</v>
      </c>
      <c r="F222" s="111"/>
      <c r="H222" s="475">
        <f>IF(ISNUMBER(SEARCH(HOME_Country,TablePays[[#This Row],[Country_Names]])),1,0)</f>
        <v>1</v>
      </c>
      <c r="I222" s="30" t="str">
        <f>IF(J222&lt;&gt;"",INDEX(TablePays[Country_Names],J222),"")</f>
        <v>Angola</v>
      </c>
      <c r="J222" s="30">
        <f t="array" ref="J222">IFERROR(MATCH(0,COUNTIF($I$217:I221,TablePays[Country_Names])+IF($H$218:$H$423=0,1,0),0),"")</f>
        <v>5</v>
      </c>
      <c r="L222" s="553"/>
      <c r="P222" s="555"/>
    </row>
    <row r="223" spans="2:23" ht="17" thickBot="1" x14ac:dyDescent="0.25">
      <c r="B223" s="475" t="s">
        <v>665</v>
      </c>
      <c r="C223" s="475">
        <v>99</v>
      </c>
      <c r="D223" s="475" t="s">
        <v>664</v>
      </c>
      <c r="F223" s="111"/>
      <c r="H223" s="475">
        <f>IF(ISNUMBER(SEARCH(HOME_Country,TablePays[[#This Row],[Country_Names]])),1,0)</f>
        <v>1</v>
      </c>
      <c r="I223" s="30" t="str">
        <f>IF(J223&lt;&gt;"",INDEX(TablePays[Country_Names],J223),"")</f>
        <v>Antigua and Barbuda</v>
      </c>
      <c r="J223" s="30">
        <f t="array" ref="J223">IFERROR(MATCH(0,COUNTIF($I$217:I222,TablePays[Country_Names])+IF($H$218:$H$423=0,1,0),0),"")</f>
        <v>6</v>
      </c>
      <c r="L223" s="559"/>
      <c r="M223" s="560"/>
      <c r="N223" s="560"/>
      <c r="O223" s="560"/>
      <c r="P223" s="561"/>
    </row>
    <row r="224" spans="2:23" x14ac:dyDescent="0.2">
      <c r="B224" s="111" t="s">
        <v>454</v>
      </c>
      <c r="C224" s="111">
        <v>19</v>
      </c>
      <c r="D224" s="475" t="s">
        <v>675</v>
      </c>
      <c r="E224" s="30">
        <v>1</v>
      </c>
      <c r="F224" s="111" t="s">
        <v>736</v>
      </c>
      <c r="H224" s="475">
        <f>IF(ISNUMBER(SEARCH(HOME_Country,TablePays[[#This Row],[Country_Names]])),1,0)</f>
        <v>1</v>
      </c>
      <c r="I224" s="30" t="str">
        <f>IF(J224&lt;&gt;"",INDEX(TablePays[Country_Names],J224),"")</f>
        <v>Argentina</v>
      </c>
      <c r="J224" s="30">
        <f t="array" ref="J224">IFERROR(MATCH(0,COUNTIF($I$217:I223,TablePays[Country_Names])+IF($H$218:$H$423=0,1,0),0),"")</f>
        <v>7</v>
      </c>
    </row>
    <row r="225" spans="2:10" x14ac:dyDescent="0.2">
      <c r="B225" s="475" t="s">
        <v>600</v>
      </c>
      <c r="C225" s="475">
        <v>99</v>
      </c>
      <c r="D225" s="475" t="s">
        <v>476</v>
      </c>
      <c r="F225" s="111"/>
      <c r="H225" s="475">
        <f>IF(ISNUMBER(SEARCH(HOME_Country,TablePays[[#This Row],[Country_Names]])),1,0)</f>
        <v>1</v>
      </c>
      <c r="I225" s="30" t="str">
        <f>IF(J225&lt;&gt;"",INDEX(TablePays[Country_Names],J225),"")</f>
        <v>Armenia</v>
      </c>
      <c r="J225" s="30">
        <f t="array" ref="J225">IFERROR(MATCH(0,COUNTIF($I$217:I224,TablePays[Country_Names])+IF($H$218:$H$423=0,1,0),0),"")</f>
        <v>8</v>
      </c>
    </row>
    <row r="226" spans="2:10" x14ac:dyDescent="0.2">
      <c r="B226" s="111" t="s">
        <v>285</v>
      </c>
      <c r="C226" s="111">
        <v>16</v>
      </c>
      <c r="D226" s="475" t="s">
        <v>630</v>
      </c>
      <c r="E226" s="30">
        <v>1</v>
      </c>
      <c r="F226" s="111" t="s">
        <v>729</v>
      </c>
      <c r="H226" s="475">
        <f>IF(ISNUMBER(SEARCH(HOME_Country,TablePays[[#This Row],[Country_Names]])),1,0)</f>
        <v>1</v>
      </c>
      <c r="I226" s="30" t="str">
        <f>IF(J226&lt;&gt;"",INDEX(TablePays[Country_Names],J226),"")</f>
        <v>Australia</v>
      </c>
      <c r="J226" s="30">
        <f t="array" ref="J226">IFERROR(MATCH(0,COUNTIF($I$217:I225,TablePays[Country_Names])+IF($H$218:$H$423=0,1,0),0),"")</f>
        <v>9</v>
      </c>
    </row>
    <row r="227" spans="2:10" x14ac:dyDescent="0.2">
      <c r="B227" s="111" t="s">
        <v>430</v>
      </c>
      <c r="C227" s="111">
        <v>6</v>
      </c>
      <c r="D227" s="475" t="s">
        <v>476</v>
      </c>
      <c r="E227" s="30">
        <v>1</v>
      </c>
      <c r="F227" s="111" t="s">
        <v>730</v>
      </c>
      <c r="H227" s="475">
        <f>IF(ISNUMBER(SEARCH(HOME_Country,TablePays[[#This Row],[Country_Names]])),1,0)</f>
        <v>1</v>
      </c>
      <c r="I227" s="30" t="str">
        <f>IF(J227&lt;&gt;"",INDEX(TablePays[Country_Names],J227),"")</f>
        <v>Austria</v>
      </c>
      <c r="J227" s="30">
        <f t="array" ref="J227">IFERROR(MATCH(0,COUNTIF($I$217:I226,TablePays[Country_Names])+IF($H$218:$H$423=0,1,0),0),"")</f>
        <v>10</v>
      </c>
    </row>
    <row r="228" spans="2:10" x14ac:dyDescent="0.2">
      <c r="B228" s="475" t="s">
        <v>601</v>
      </c>
      <c r="C228" s="475">
        <v>99</v>
      </c>
      <c r="D228" s="475" t="s">
        <v>476</v>
      </c>
      <c r="F228" s="111"/>
      <c r="H228" s="475">
        <f>IF(ISNUMBER(SEARCH(HOME_Country,TablePays[[#This Row],[Country_Names]])),1,0)</f>
        <v>1</v>
      </c>
      <c r="I228" s="30" t="str">
        <f>IF(J228&lt;&gt;"",INDEX(TablePays[Country_Names],J228),"")</f>
        <v>Azerbaijan</v>
      </c>
      <c r="J228" s="30">
        <f t="array" ref="J228">IFERROR(MATCH(0,COUNTIF($I$217:I227,TablePays[Country_Names])+IF($H$218:$H$423=0,1,0),0),"")</f>
        <v>11</v>
      </c>
    </row>
    <row r="229" spans="2:10" x14ac:dyDescent="0.2">
      <c r="B229" s="475" t="s">
        <v>618</v>
      </c>
      <c r="C229" s="475">
        <v>99</v>
      </c>
      <c r="D229" s="475" t="s">
        <v>664</v>
      </c>
      <c r="F229" s="111"/>
      <c r="H229" s="475">
        <f>IF(ISNUMBER(SEARCH(HOME_Country,TablePays[[#This Row],[Country_Names]])),1,0)</f>
        <v>1</v>
      </c>
      <c r="I229" s="30" t="str">
        <f>IF(J229&lt;&gt;"",INDEX(TablePays[Country_Names],J229),"")</f>
        <v>Bahamas</v>
      </c>
      <c r="J229" s="30">
        <f t="array" ref="J229">IFERROR(MATCH(0,COUNTIF($I$217:I228,TablePays[Country_Names])+IF($H$218:$H$423=0,1,0),0),"")</f>
        <v>12</v>
      </c>
    </row>
    <row r="230" spans="2:10" x14ac:dyDescent="0.2">
      <c r="B230" s="475" t="s">
        <v>573</v>
      </c>
      <c r="C230" s="475">
        <v>99</v>
      </c>
      <c r="D230" s="475" t="s">
        <v>571</v>
      </c>
      <c r="F230" s="111"/>
      <c r="H230" s="475">
        <f>IF(ISNUMBER(SEARCH(HOME_Country,TablePays[[#This Row],[Country_Names]])),1,0)</f>
        <v>1</v>
      </c>
      <c r="I230" s="30" t="str">
        <f>IF(J230&lt;&gt;"",INDEX(TablePays[Country_Names],J230),"")</f>
        <v>Bahrain</v>
      </c>
      <c r="J230" s="30">
        <f t="array" ref="J230">IFERROR(MATCH(0,COUNTIF($I$217:I229,TablePays[Country_Names])+IF($H$218:$H$423=0,1,0),0),"")</f>
        <v>13</v>
      </c>
    </row>
    <row r="231" spans="2:10" x14ac:dyDescent="0.2">
      <c r="B231" s="475" t="s">
        <v>574</v>
      </c>
      <c r="C231" s="475">
        <v>99</v>
      </c>
      <c r="D231" s="475" t="s">
        <v>571</v>
      </c>
      <c r="F231" s="111"/>
      <c r="H231" s="475">
        <f>IF(ISNUMBER(SEARCH(HOME_Country,TablePays[[#This Row],[Country_Names]])),1,0)</f>
        <v>1</v>
      </c>
      <c r="I231" s="30" t="str">
        <f>IF(J231&lt;&gt;"",INDEX(TablePays[Country_Names],J231),"")</f>
        <v>Bangladesh</v>
      </c>
      <c r="J231" s="30">
        <f t="array" ref="J231">IFERROR(MATCH(0,COUNTIF($I$217:I230,TablePays[Country_Names])+IF($H$218:$H$423=0,1,0),0),"")</f>
        <v>14</v>
      </c>
    </row>
    <row r="232" spans="2:10" x14ac:dyDescent="0.2">
      <c r="B232" s="475" t="s">
        <v>619</v>
      </c>
      <c r="C232" s="475">
        <v>99</v>
      </c>
      <c r="D232" s="475" t="s">
        <v>664</v>
      </c>
      <c r="F232" s="111"/>
      <c r="H232" s="475">
        <f>IF(ISNUMBER(SEARCH(HOME_Country,TablePays[[#This Row],[Country_Names]])),1,0)</f>
        <v>1</v>
      </c>
      <c r="I232" s="30" t="str">
        <f>IF(J232&lt;&gt;"",INDEX(TablePays[Country_Names],J232),"")</f>
        <v>Barbados</v>
      </c>
      <c r="J232" s="30">
        <f t="array" ref="J232">IFERROR(MATCH(0,COUNTIF($I$217:I231,TablePays[Country_Names])+IF($H$218:$H$423=0,1,0),0),"")</f>
        <v>15</v>
      </c>
    </row>
    <row r="233" spans="2:10" x14ac:dyDescent="0.2">
      <c r="B233" s="475" t="s">
        <v>602</v>
      </c>
      <c r="C233" s="475">
        <v>99</v>
      </c>
      <c r="D233" s="475" t="s">
        <v>476</v>
      </c>
      <c r="F233" s="111"/>
      <c r="H233" s="475">
        <f>IF(ISNUMBER(SEARCH(HOME_Country,TablePays[[#This Row],[Country_Names]])),1,0)</f>
        <v>1</v>
      </c>
      <c r="I233" s="30" t="str">
        <f>IF(J233&lt;&gt;"",INDEX(TablePays[Country_Names],J233),"")</f>
        <v>Belarus</v>
      </c>
      <c r="J233" s="30">
        <f t="array" ref="J233">IFERROR(MATCH(0,COUNTIF($I$217:I232,TablePays[Country_Names])+IF($H$218:$H$423=0,1,0),0),"")</f>
        <v>16</v>
      </c>
    </row>
    <row r="234" spans="2:10" x14ac:dyDescent="0.2">
      <c r="B234" s="111" t="s">
        <v>436</v>
      </c>
      <c r="C234" s="111">
        <f>7-1</f>
        <v>6</v>
      </c>
      <c r="D234" s="475" t="s">
        <v>476</v>
      </c>
      <c r="E234" s="30">
        <v>1</v>
      </c>
      <c r="F234" s="111" t="s">
        <v>731</v>
      </c>
      <c r="H234" s="475">
        <f>IF(ISNUMBER(SEARCH(HOME_Country,TablePays[[#This Row],[Country_Names]])),1,0)</f>
        <v>1</v>
      </c>
      <c r="I234" s="30" t="str">
        <f>IF(J234&lt;&gt;"",INDEX(TablePays[Country_Names],J234),"")</f>
        <v>Belgium</v>
      </c>
      <c r="J234" s="30">
        <f t="array" ref="J234">IFERROR(MATCH(0,COUNTIF($I$217:I233,TablePays[Country_Names])+IF($H$218:$H$423=0,1,0),0),"")</f>
        <v>17</v>
      </c>
    </row>
    <row r="235" spans="2:10" x14ac:dyDescent="0.2">
      <c r="B235" s="475" t="s">
        <v>620</v>
      </c>
      <c r="C235" s="475">
        <v>99</v>
      </c>
      <c r="D235" s="475" t="s">
        <v>664</v>
      </c>
      <c r="F235" s="111"/>
      <c r="H235" s="475">
        <f>IF(ISNUMBER(SEARCH(HOME_Country,TablePays[[#This Row],[Country_Names]])),1,0)</f>
        <v>1</v>
      </c>
      <c r="I235" s="30" t="str">
        <f>IF(J235&lt;&gt;"",INDEX(TablePays[Country_Names],J235),"")</f>
        <v>Belize</v>
      </c>
      <c r="J235" s="30">
        <f t="array" ref="J235">IFERROR(MATCH(0,COUNTIF($I$217:I234,TablePays[Country_Names])+IF($H$218:$H$423=0,1,0),0),"")</f>
        <v>18</v>
      </c>
    </row>
    <row r="236" spans="2:10" x14ac:dyDescent="0.2">
      <c r="B236" s="111" t="s">
        <v>461</v>
      </c>
      <c r="C236" s="111">
        <v>20</v>
      </c>
      <c r="D236" s="475" t="s">
        <v>676</v>
      </c>
      <c r="E236" s="30">
        <v>1</v>
      </c>
      <c r="F236" s="111" t="s">
        <v>726</v>
      </c>
      <c r="H236" s="475">
        <f>IF(ISNUMBER(SEARCH(HOME_Country,TablePays[[#This Row],[Country_Names]])),1,0)</f>
        <v>1</v>
      </c>
      <c r="I236" s="30" t="str">
        <f>IF(J236&lt;&gt;"",INDEX(TablePays[Country_Names],J236),"")</f>
        <v>Bengladesh</v>
      </c>
      <c r="J236" s="30">
        <f t="array" ref="J236">IFERROR(MATCH(0,COUNTIF($I$217:I235,TablePays[Country_Names])+IF($H$218:$H$423=0,1,0),0),"")</f>
        <v>19</v>
      </c>
    </row>
    <row r="237" spans="2:10" x14ac:dyDescent="0.2">
      <c r="B237" s="475" t="s">
        <v>532</v>
      </c>
      <c r="C237" s="475">
        <v>99</v>
      </c>
      <c r="D237" s="475" t="s">
        <v>529</v>
      </c>
      <c r="F237" s="111"/>
      <c r="H237" s="475">
        <f>IF(ISNUMBER(SEARCH(HOME_Country,TablePays[[#This Row],[Country_Names]])),1,0)</f>
        <v>1</v>
      </c>
      <c r="I237" s="30" t="str">
        <f>IF(J237&lt;&gt;"",INDEX(TablePays[Country_Names],J237),"")</f>
        <v>Benin</v>
      </c>
      <c r="J237" s="30">
        <f t="array" ref="J237">IFERROR(MATCH(0,COUNTIF($I$217:I236,TablePays[Country_Names])+IF($H$218:$H$423=0,1,0),0),"")</f>
        <v>20</v>
      </c>
    </row>
    <row r="238" spans="2:10" x14ac:dyDescent="0.2">
      <c r="B238" s="475" t="s">
        <v>575</v>
      </c>
      <c r="C238" s="475">
        <v>99</v>
      </c>
      <c r="D238" s="475" t="s">
        <v>571</v>
      </c>
      <c r="F238" s="111"/>
      <c r="H238" s="475">
        <f>IF(ISNUMBER(SEARCH(HOME_Country,TablePays[[#This Row],[Country_Names]])),1,0)</f>
        <v>1</v>
      </c>
      <c r="I238" s="30" t="str">
        <f>IF(J238&lt;&gt;"",INDEX(TablePays[Country_Names],J238),"")</f>
        <v>Bhutan</v>
      </c>
      <c r="J238" s="30">
        <f t="array" ref="J238">IFERROR(MATCH(0,COUNTIF($I$217:I237,TablePays[Country_Names])+IF($H$218:$H$423=0,1,0),0),"")</f>
        <v>21</v>
      </c>
    </row>
    <row r="239" spans="2:10" x14ac:dyDescent="0.2">
      <c r="B239" s="475" t="s">
        <v>640</v>
      </c>
      <c r="C239" s="475">
        <v>99</v>
      </c>
      <c r="D239" s="475" t="s">
        <v>675</v>
      </c>
      <c r="F239" s="111"/>
      <c r="H239" s="475">
        <f>IF(ISNUMBER(SEARCH(HOME_Country,TablePays[[#This Row],[Country_Names]])),1,0)</f>
        <v>1</v>
      </c>
      <c r="I239" s="30" t="str">
        <f>IF(J239&lt;&gt;"",INDEX(TablePays[Country_Names],J239),"")</f>
        <v>Bolivia</v>
      </c>
      <c r="J239" s="30">
        <f t="array" ref="J239">IFERROR(MATCH(0,COUNTIF($I$217:I238,TablePays[Country_Names])+IF($H$218:$H$423=0,1,0),0),"")</f>
        <v>22</v>
      </c>
    </row>
    <row r="240" spans="2:10" x14ac:dyDescent="0.2">
      <c r="B240" s="475" t="s">
        <v>660</v>
      </c>
      <c r="C240" s="475">
        <v>99</v>
      </c>
      <c r="D240" s="475" t="s">
        <v>476</v>
      </c>
      <c r="F240" s="111"/>
      <c r="H240" s="475">
        <f>IF(ISNUMBER(SEARCH(HOME_Country,TablePays[[#This Row],[Country_Names]])),1,0)</f>
        <v>1</v>
      </c>
      <c r="I240" s="30" t="str">
        <f>IF(J240&lt;&gt;"",INDEX(TablePays[Country_Names],J240),"")</f>
        <v>Bosnia and Herzegovina</v>
      </c>
      <c r="J240" s="30">
        <f t="array" ref="J240">IFERROR(MATCH(0,COUNTIF($I$217:I239,TablePays[Country_Names])+IF($H$218:$H$423=0,1,0),0),"")</f>
        <v>23</v>
      </c>
    </row>
    <row r="241" spans="2:10" x14ac:dyDescent="0.2">
      <c r="B241" s="475" t="s">
        <v>533</v>
      </c>
      <c r="C241" s="475">
        <v>99</v>
      </c>
      <c r="D241" s="475" t="s">
        <v>529</v>
      </c>
      <c r="F241" s="111"/>
      <c r="H241" s="475">
        <f>IF(ISNUMBER(SEARCH(HOME_Country,TablePays[[#This Row],[Country_Names]])),1,0)</f>
        <v>1</v>
      </c>
      <c r="I241" s="30" t="str">
        <f>IF(J241&lt;&gt;"",INDEX(TablePays[Country_Names],J241),"")</f>
        <v>Botswana</v>
      </c>
      <c r="J241" s="30">
        <f t="array" ref="J241">IFERROR(MATCH(0,COUNTIF($I$217:I240,TablePays[Country_Names])+IF($H$218:$H$423=0,1,0),0),"")</f>
        <v>24</v>
      </c>
    </row>
    <row r="242" spans="2:10" x14ac:dyDescent="0.2">
      <c r="B242" s="111" t="s">
        <v>456</v>
      </c>
      <c r="C242" s="111">
        <v>19</v>
      </c>
      <c r="D242" s="475" t="s">
        <v>675</v>
      </c>
      <c r="E242" s="30">
        <v>1</v>
      </c>
      <c r="F242" s="111" t="s">
        <v>736</v>
      </c>
      <c r="H242" s="475">
        <f>IF(ISNUMBER(SEARCH(HOME_Country,TablePays[[#This Row],[Country_Names]])),1,0)</f>
        <v>1</v>
      </c>
      <c r="I242" s="30" t="str">
        <f>IF(J242&lt;&gt;"",INDEX(TablePays[Country_Names],J242),"")</f>
        <v>Brazil</v>
      </c>
      <c r="J242" s="30">
        <f t="array" ref="J242">IFERROR(MATCH(0,COUNTIF($I$217:I241,TablePays[Country_Names])+IF($H$218:$H$423=0,1,0),0),"")</f>
        <v>25</v>
      </c>
    </row>
    <row r="243" spans="2:10" x14ac:dyDescent="0.2">
      <c r="B243" s="475" t="s">
        <v>576</v>
      </c>
      <c r="C243" s="475">
        <v>99</v>
      </c>
      <c r="D243" s="475" t="s">
        <v>571</v>
      </c>
      <c r="F243" s="111"/>
      <c r="H243" s="475">
        <f>IF(ISNUMBER(SEARCH(HOME_Country,TablePays[[#This Row],[Country_Names]])),1,0)</f>
        <v>1</v>
      </c>
      <c r="I243" s="30" t="str">
        <f>IF(J243&lt;&gt;"",INDEX(TablePays[Country_Names],J243),"")</f>
        <v>Brunei</v>
      </c>
      <c r="J243" s="30">
        <f t="array" ref="J243">IFERROR(MATCH(0,COUNTIF($I$217:I242,TablePays[Country_Names])+IF($H$218:$H$423=0,1,0),0),"")</f>
        <v>26</v>
      </c>
    </row>
    <row r="244" spans="2:10" x14ac:dyDescent="0.2">
      <c r="B244" s="111" t="s">
        <v>445</v>
      </c>
      <c r="C244" s="111">
        <v>10</v>
      </c>
      <c r="D244" s="475" t="s">
        <v>476</v>
      </c>
      <c r="E244" s="30">
        <v>1</v>
      </c>
      <c r="F244" s="111" t="s">
        <v>734</v>
      </c>
      <c r="H244" s="475">
        <f>IF(ISNUMBER(SEARCH(HOME_Country,TablePays[[#This Row],[Country_Names]])),1,0)</f>
        <v>1</v>
      </c>
      <c r="I244" s="30" t="str">
        <f>IF(J244&lt;&gt;"",INDEX(TablePays[Country_Names],J244),"")</f>
        <v>Bulgaria</v>
      </c>
      <c r="J244" s="30">
        <f t="array" ref="J244">IFERROR(MATCH(0,COUNTIF($I$217:I243,TablePays[Country_Names])+IF($H$218:$H$423=0,1,0),0),"")</f>
        <v>27</v>
      </c>
    </row>
    <row r="245" spans="2:10" x14ac:dyDescent="0.2">
      <c r="B245" s="475" t="s">
        <v>534</v>
      </c>
      <c r="C245" s="475">
        <v>99</v>
      </c>
      <c r="D245" s="475" t="s">
        <v>529</v>
      </c>
      <c r="F245" s="111"/>
      <c r="H245" s="475">
        <f>IF(ISNUMBER(SEARCH(HOME_Country,TablePays[[#This Row],[Country_Names]])),1,0)</f>
        <v>1</v>
      </c>
      <c r="I245" s="30" t="str">
        <f>IF(J245&lt;&gt;"",INDEX(TablePays[Country_Names],J245),"")</f>
        <v>Burkina</v>
      </c>
      <c r="J245" s="30">
        <f t="array" ref="J245">IFERROR(MATCH(0,COUNTIF($I$217:I244,TablePays[Country_Names])+IF($H$218:$H$423=0,1,0),0),"")</f>
        <v>28</v>
      </c>
    </row>
    <row r="246" spans="2:10" x14ac:dyDescent="0.2">
      <c r="B246" s="475" t="s">
        <v>654</v>
      </c>
      <c r="C246" s="475">
        <v>99</v>
      </c>
      <c r="D246" s="475" t="s">
        <v>571</v>
      </c>
      <c r="F246" s="111"/>
      <c r="H246" s="475">
        <f>IF(ISNUMBER(SEARCH(HOME_Country,TablePays[[#This Row],[Country_Names]])),1,0)</f>
        <v>1</v>
      </c>
      <c r="I246" s="30" t="str">
        <f>IF(J246&lt;&gt;"",INDEX(TablePays[Country_Names],J246),"")</f>
        <v>Burma (Myanmar)</v>
      </c>
      <c r="J246" s="30">
        <f t="array" ref="J246">IFERROR(MATCH(0,COUNTIF($I$217:I245,TablePays[Country_Names])+IF($H$218:$H$423=0,1,0),0),"")</f>
        <v>29</v>
      </c>
    </row>
    <row r="247" spans="2:10" x14ac:dyDescent="0.2">
      <c r="B247" s="475" t="s">
        <v>535</v>
      </c>
      <c r="C247" s="475">
        <v>99</v>
      </c>
      <c r="D247" s="475" t="s">
        <v>529</v>
      </c>
      <c r="F247" s="111"/>
      <c r="H247" s="475">
        <f>IF(ISNUMBER(SEARCH(HOME_Country,TablePays[[#This Row],[Country_Names]])),1,0)</f>
        <v>1</v>
      </c>
      <c r="I247" s="30" t="str">
        <f>IF(J247&lt;&gt;"",INDEX(TablePays[Country_Names],J247),"")</f>
        <v>Burundi</v>
      </c>
      <c r="J247" s="30">
        <f t="array" ref="J247">IFERROR(MATCH(0,COUNTIF($I$217:I246,TablePays[Country_Names])+IF($H$218:$H$423=0,1,0),0),"")</f>
        <v>30</v>
      </c>
    </row>
    <row r="248" spans="2:10" x14ac:dyDescent="0.2">
      <c r="B248" s="475" t="s">
        <v>577</v>
      </c>
      <c r="C248" s="475">
        <v>99</v>
      </c>
      <c r="D248" s="475" t="s">
        <v>571</v>
      </c>
      <c r="F248" s="111"/>
      <c r="H248" s="475">
        <f>IF(ISNUMBER(SEARCH(HOME_Country,TablePays[[#This Row],[Country_Names]])),1,0)</f>
        <v>1</v>
      </c>
      <c r="I248" s="30" t="str">
        <f>IF(J248&lt;&gt;"",INDEX(TablePays[Country_Names],J248),"")</f>
        <v>Cambodia</v>
      </c>
      <c r="J248" s="30">
        <f t="array" ref="J248">IFERROR(MATCH(0,COUNTIF($I$217:I247,TablePays[Country_Names])+IF($H$218:$H$423=0,1,0),0),"")</f>
        <v>31</v>
      </c>
    </row>
    <row r="249" spans="2:10" x14ac:dyDescent="0.2">
      <c r="B249" s="475" t="s">
        <v>536</v>
      </c>
      <c r="C249" s="475">
        <v>99</v>
      </c>
      <c r="D249" s="475" t="s">
        <v>529</v>
      </c>
      <c r="F249" s="111"/>
      <c r="H249" s="475">
        <f>IF(ISNUMBER(SEARCH(HOME_Country,TablePays[[#This Row],[Country_Names]])),1,0)</f>
        <v>1</v>
      </c>
      <c r="I249" s="30" t="str">
        <f>IF(J249&lt;&gt;"",INDEX(TablePays[Country_Names],J249),"")</f>
        <v>Cameroon</v>
      </c>
      <c r="J249" s="30">
        <f t="array" ref="J249">IFERROR(MATCH(0,COUNTIF($I$217:I248,TablePays[Country_Names])+IF($H$218:$H$423=0,1,0),0),"")</f>
        <v>32</v>
      </c>
    </row>
    <row r="250" spans="2:10" x14ac:dyDescent="0.2">
      <c r="B250" s="111" t="s">
        <v>6</v>
      </c>
      <c r="C250" s="111">
        <v>1</v>
      </c>
      <c r="D250" s="475" t="s">
        <v>664</v>
      </c>
      <c r="E250" s="30">
        <v>1</v>
      </c>
      <c r="F250" s="111" t="s">
        <v>738</v>
      </c>
      <c r="H250" s="475">
        <f>IF(ISNUMBER(SEARCH(HOME_Country,TablePays[[#This Row],[Country_Names]])),1,0)</f>
        <v>1</v>
      </c>
      <c r="I250" s="30" t="str">
        <f>IF(J250&lt;&gt;"",INDEX(TablePays[Country_Names],J250),"")</f>
        <v>Canada</v>
      </c>
      <c r="J250" s="30">
        <f t="array" ref="J250">IFERROR(MATCH(0,COUNTIF($I$217:I249,TablePays[Country_Names])+IF($H$218:$H$423=0,1,0),0),"")</f>
        <v>33</v>
      </c>
    </row>
    <row r="251" spans="2:10" x14ac:dyDescent="0.2">
      <c r="B251" s="475" t="s">
        <v>647</v>
      </c>
      <c r="C251" s="475">
        <v>99</v>
      </c>
      <c r="D251" s="475" t="s">
        <v>529</v>
      </c>
      <c r="F251" s="111"/>
      <c r="H251" s="475">
        <f>IF(ISNUMBER(SEARCH(HOME_Country,TablePays[[#This Row],[Country_Names]])),1,0)</f>
        <v>1</v>
      </c>
      <c r="I251" s="30" t="str">
        <f>IF(J251&lt;&gt;"",INDEX(TablePays[Country_Names],J251),"")</f>
        <v>Cape Verde</v>
      </c>
      <c r="J251" s="30">
        <f t="array" ref="J251">IFERROR(MATCH(0,COUNTIF($I$217:I250,TablePays[Country_Names])+IF($H$218:$H$423=0,1,0),0),"")</f>
        <v>34</v>
      </c>
    </row>
    <row r="252" spans="2:10" x14ac:dyDescent="0.2">
      <c r="B252" s="475" t="s">
        <v>648</v>
      </c>
      <c r="C252" s="475">
        <v>99</v>
      </c>
      <c r="D252" s="475" t="s">
        <v>529</v>
      </c>
      <c r="F252" s="111"/>
      <c r="H252" s="475">
        <f>IF(ISNUMBER(SEARCH(HOME_Country,TablePays[[#This Row],[Country_Names]])),1,0)</f>
        <v>1</v>
      </c>
      <c r="I252" s="30" t="str">
        <f>IF(J252&lt;&gt;"",INDEX(TablePays[Country_Names],J252),"")</f>
        <v>Central African Republic</v>
      </c>
      <c r="J252" s="30">
        <f t="array" ref="J252">IFERROR(MATCH(0,COUNTIF($I$217:I251,TablePays[Country_Names])+IF($H$218:$H$423=0,1,0),0),"")</f>
        <v>35</v>
      </c>
    </row>
    <row r="253" spans="2:10" x14ac:dyDescent="0.2">
      <c r="B253" s="475" t="s">
        <v>537</v>
      </c>
      <c r="C253" s="475">
        <v>99</v>
      </c>
      <c r="D253" s="475" t="s">
        <v>529</v>
      </c>
      <c r="F253" s="111"/>
      <c r="H253" s="475">
        <f>IF(ISNUMBER(SEARCH(HOME_Country,TablePays[[#This Row],[Country_Names]])),1,0)</f>
        <v>1</v>
      </c>
      <c r="I253" s="30" t="str">
        <f>IF(J253&lt;&gt;"",INDEX(TablePays[Country_Names],J253),"")</f>
        <v>Chad</v>
      </c>
      <c r="J253" s="30">
        <f t="array" ref="J253">IFERROR(MATCH(0,COUNTIF($I$217:I252,TablePays[Country_Names])+IF($H$218:$H$423=0,1,0),0),"")</f>
        <v>36</v>
      </c>
    </row>
    <row r="254" spans="2:10" x14ac:dyDescent="0.2">
      <c r="B254" s="111" t="s">
        <v>286</v>
      </c>
      <c r="C254" s="111">
        <v>19</v>
      </c>
      <c r="D254" s="475" t="s">
        <v>675</v>
      </c>
      <c r="E254" s="30">
        <v>1</v>
      </c>
      <c r="F254" s="111" t="s">
        <v>736</v>
      </c>
      <c r="H254" s="475">
        <f>IF(ISNUMBER(SEARCH(HOME_Country,TablePays[[#This Row],[Country_Names]])),1,0)</f>
        <v>1</v>
      </c>
      <c r="I254" s="30" t="str">
        <f>IF(J254&lt;&gt;"",INDEX(TablePays[Country_Names],J254),"")</f>
        <v>Chile</v>
      </c>
      <c r="J254" s="30">
        <f t="array" ref="J254">IFERROR(MATCH(0,COUNTIF($I$217:I253,TablePays[Country_Names])+IF($H$218:$H$423=0,1,0),0),"")</f>
        <v>37</v>
      </c>
    </row>
    <row r="255" spans="2:10" x14ac:dyDescent="0.2">
      <c r="B255" s="111" t="s">
        <v>450</v>
      </c>
      <c r="C255" s="111">
        <v>14</v>
      </c>
      <c r="D255" s="475" t="s">
        <v>571</v>
      </c>
      <c r="E255" s="30">
        <v>1</v>
      </c>
      <c r="F255" s="111" t="s">
        <v>725</v>
      </c>
      <c r="H255" s="475">
        <f>IF(ISNUMBER(SEARCH(HOME_Country,TablePays[[#This Row],[Country_Names]])),1,0)</f>
        <v>1</v>
      </c>
      <c r="I255" s="30" t="str">
        <f>IF(J255&lt;&gt;"",INDEX(TablePays[Country_Names],J255),"")</f>
        <v>China</v>
      </c>
      <c r="J255" s="30">
        <f t="array" ref="J255">IFERROR(MATCH(0,COUNTIF($I$217:I254,TablePays[Country_Names])+IF($H$218:$H$423=0,1,0),0),"")</f>
        <v>38</v>
      </c>
    </row>
    <row r="256" spans="2:10" x14ac:dyDescent="0.2">
      <c r="B256" s="111" t="s">
        <v>458</v>
      </c>
      <c r="C256" s="111">
        <v>19</v>
      </c>
      <c r="D256" s="475" t="s">
        <v>675</v>
      </c>
      <c r="E256" s="30">
        <v>1</v>
      </c>
      <c r="F256" s="111" t="s">
        <v>735</v>
      </c>
      <c r="H256" s="475">
        <f>IF(ISNUMBER(SEARCH(HOME_Country,TablePays[[#This Row],[Country_Names]])),1,0)</f>
        <v>1</v>
      </c>
      <c r="I256" s="30" t="str">
        <f>IF(J256&lt;&gt;"",INDEX(TablePays[Country_Names],J256),"")</f>
        <v>Colombia</v>
      </c>
      <c r="J256" s="30">
        <f t="array" ref="J256">IFERROR(MATCH(0,COUNTIF($I$217:I255,TablePays[Country_Names])+IF($H$218:$H$423=0,1,0),0),"")</f>
        <v>39</v>
      </c>
    </row>
    <row r="257" spans="2:10" x14ac:dyDescent="0.2">
      <c r="B257" s="475" t="s">
        <v>538</v>
      </c>
      <c r="C257" s="475">
        <v>99</v>
      </c>
      <c r="D257" s="475" t="s">
        <v>529</v>
      </c>
      <c r="F257" s="111"/>
      <c r="H257" s="475">
        <f>IF(ISNUMBER(SEARCH(HOME_Country,TablePays[[#This Row],[Country_Names]])),1,0)</f>
        <v>1</v>
      </c>
      <c r="I257" s="30" t="str">
        <f>IF(J257&lt;&gt;"",INDEX(TablePays[Country_Names],J257),"")</f>
        <v>Comoros</v>
      </c>
      <c r="J257" s="30">
        <f t="array" ref="J257">IFERROR(MATCH(0,COUNTIF($I$217:I256,TablePays[Country_Names])+IF($H$218:$H$423=0,1,0),0),"")</f>
        <v>40</v>
      </c>
    </row>
    <row r="258" spans="2:10" x14ac:dyDescent="0.2">
      <c r="B258" s="475" t="s">
        <v>539</v>
      </c>
      <c r="C258" s="475">
        <v>99</v>
      </c>
      <c r="D258" s="475" t="s">
        <v>529</v>
      </c>
      <c r="F258" s="111"/>
      <c r="H258" s="475">
        <f>IF(ISNUMBER(SEARCH(HOME_Country,TablePays[[#This Row],[Country_Names]])),1,0)</f>
        <v>1</v>
      </c>
      <c r="I258" s="30" t="str">
        <f>IF(J258&lt;&gt;"",INDEX(TablePays[Country_Names],J258),"")</f>
        <v>Congo</v>
      </c>
      <c r="J258" s="30">
        <f t="array" ref="J258">IFERROR(MATCH(0,COUNTIF($I$217:I257,TablePays[Country_Names])+IF($H$218:$H$423=0,1,0),0),"")</f>
        <v>41</v>
      </c>
    </row>
    <row r="259" spans="2:10" x14ac:dyDescent="0.2">
      <c r="B259" s="475" t="s">
        <v>540</v>
      </c>
      <c r="C259" s="475">
        <v>99</v>
      </c>
      <c r="D259" s="475" t="s">
        <v>529</v>
      </c>
      <c r="F259" s="111"/>
      <c r="H259" s="475">
        <f>IF(ISNUMBER(SEARCH(HOME_Country,TablePays[[#This Row],[Country_Names]])),1,0)</f>
        <v>1</v>
      </c>
      <c r="I259" s="30" t="str">
        <f>IF(J259&lt;&gt;"",INDEX(TablePays[Country_Names],J259),"")</f>
        <v>Congo, Democratic Republic of</v>
      </c>
      <c r="J259" s="30">
        <f t="array" ref="J259">IFERROR(MATCH(0,COUNTIF($I$217:I258,TablePays[Country_Names])+IF($H$218:$H$423=0,1,0),0),"")</f>
        <v>42</v>
      </c>
    </row>
    <row r="260" spans="2:10" x14ac:dyDescent="0.2">
      <c r="B260" s="111" t="s">
        <v>457</v>
      </c>
      <c r="C260" s="111">
        <v>19</v>
      </c>
      <c r="D260" s="475" t="s">
        <v>664</v>
      </c>
      <c r="E260" s="30">
        <v>1</v>
      </c>
      <c r="F260" s="111" t="s">
        <v>735</v>
      </c>
      <c r="H260" s="475">
        <f>IF(ISNUMBER(SEARCH(HOME_Country,TablePays[[#This Row],[Country_Names]])),1,0)</f>
        <v>1</v>
      </c>
      <c r="I260" s="30" t="str">
        <f>IF(J260&lt;&gt;"",INDEX(TablePays[Country_Names],J260),"")</f>
        <v>Costa Rica</v>
      </c>
      <c r="J260" s="30">
        <f t="array" ref="J260">IFERROR(MATCH(0,COUNTIF($I$217:I259,TablePays[Country_Names])+IF($H$218:$H$423=0,1,0),0),"")</f>
        <v>43</v>
      </c>
    </row>
    <row r="261" spans="2:10" x14ac:dyDescent="0.2">
      <c r="B261" s="111" t="s">
        <v>446</v>
      </c>
      <c r="C261" s="111">
        <v>10</v>
      </c>
      <c r="D261" s="475" t="s">
        <v>476</v>
      </c>
      <c r="E261" s="30">
        <v>1</v>
      </c>
      <c r="F261" s="111" t="s">
        <v>734</v>
      </c>
      <c r="H261" s="475">
        <f>IF(ISNUMBER(SEARCH(HOME_Country,TablePays[[#This Row],[Country_Names]])),1,0)</f>
        <v>1</v>
      </c>
      <c r="I261" s="30" t="str">
        <f>IF(J261&lt;&gt;"",INDEX(TablePays[Country_Names],J261),"")</f>
        <v>Croatia</v>
      </c>
      <c r="J261" s="30">
        <f t="array" ref="J261">IFERROR(MATCH(0,COUNTIF($I$217:I260,TablePays[Country_Names])+IF($H$218:$H$423=0,1,0),0),"")</f>
        <v>44</v>
      </c>
    </row>
    <row r="262" spans="2:10" x14ac:dyDescent="0.2">
      <c r="B262" s="475" t="s">
        <v>621</v>
      </c>
      <c r="C262" s="475">
        <v>99</v>
      </c>
      <c r="D262" s="475" t="s">
        <v>664</v>
      </c>
      <c r="F262" s="111"/>
      <c r="H262" s="475">
        <f>IF(ISNUMBER(SEARCH(HOME_Country,TablePays[[#This Row],[Country_Names]])),1,0)</f>
        <v>1</v>
      </c>
      <c r="I262" s="30" t="str">
        <f>IF(J262&lt;&gt;"",INDEX(TablePays[Country_Names],J262),"")</f>
        <v>Cuba</v>
      </c>
      <c r="J262" s="30">
        <f t="array" ref="J262">IFERROR(MATCH(0,COUNTIF($I$217:I261,TablePays[Country_Names])+IF($H$218:$H$423=0,1,0),0),"")</f>
        <v>45</v>
      </c>
    </row>
    <row r="263" spans="2:10" x14ac:dyDescent="0.2">
      <c r="B263" s="475" t="s">
        <v>603</v>
      </c>
      <c r="C263" s="475">
        <v>99</v>
      </c>
      <c r="D263" s="475" t="s">
        <v>476</v>
      </c>
      <c r="F263" s="111"/>
      <c r="H263" s="475">
        <f>IF(ISNUMBER(SEARCH(HOME_Country,TablePays[[#This Row],[Country_Names]])),1,0)</f>
        <v>1</v>
      </c>
      <c r="I263" s="30" t="str">
        <f>IF(J263&lt;&gt;"",INDEX(TablePays[Country_Names],J263),"")</f>
        <v>Cyprus</v>
      </c>
      <c r="J263" s="30">
        <f t="array" ref="J263">IFERROR(MATCH(0,COUNTIF($I$217:I262,TablePays[Country_Names])+IF($H$218:$H$423=0,1,0),0),"")</f>
        <v>46</v>
      </c>
    </row>
    <row r="264" spans="2:10" x14ac:dyDescent="0.2">
      <c r="B264" s="475" t="s">
        <v>781</v>
      </c>
      <c r="C264" s="111">
        <v>6</v>
      </c>
      <c r="D264" s="475" t="s">
        <v>476</v>
      </c>
      <c r="E264" s="30">
        <v>1</v>
      </c>
      <c r="F264" s="111" t="s">
        <v>730</v>
      </c>
      <c r="H264" s="475">
        <f>IF(ISNUMBER(SEARCH(HOME_Country,TablePays[[#This Row],[Country_Names]])),1,0)</f>
        <v>1</v>
      </c>
      <c r="I264" s="30" t="str">
        <f>IF(J264&lt;&gt;"",INDEX(TablePays[Country_Names],J264),"")</f>
        <v>Czech Republic</v>
      </c>
      <c r="J264" s="30">
        <f t="array" ref="J264">IFERROR(MATCH(0,COUNTIF($I$217:I263,TablePays[Country_Names])+IF($H$218:$H$423=0,1,0),0),"")</f>
        <v>47</v>
      </c>
    </row>
    <row r="265" spans="2:10" x14ac:dyDescent="0.2">
      <c r="B265" s="111" t="s">
        <v>427</v>
      </c>
      <c r="C265" s="111">
        <v>6</v>
      </c>
      <c r="D265" s="475" t="s">
        <v>476</v>
      </c>
      <c r="E265" s="30">
        <v>1</v>
      </c>
      <c r="F265" s="111" t="s">
        <v>730</v>
      </c>
      <c r="H265" s="475">
        <f>IF(ISNUMBER(SEARCH(HOME_Country,TablePays[[#This Row],[Country_Names]])),1,0)</f>
        <v>1</v>
      </c>
      <c r="I265" s="30" t="str">
        <f>IF(J265&lt;&gt;"",INDEX(TablePays[Country_Names],J265),"")</f>
        <v>Czechia</v>
      </c>
      <c r="J265" s="30">
        <f t="array" ref="J265">IFERROR(MATCH(0,COUNTIF($I$217:I264,TablePays[Country_Names])+IF($H$218:$H$423=0,1,0),0),"")</f>
        <v>48</v>
      </c>
    </row>
    <row r="266" spans="2:10" x14ac:dyDescent="0.2">
      <c r="B266" s="111" t="s">
        <v>444</v>
      </c>
      <c r="C266" s="111">
        <f>9-3</f>
        <v>6</v>
      </c>
      <c r="D266" s="475" t="s">
        <v>476</v>
      </c>
      <c r="E266" s="30">
        <v>1</v>
      </c>
      <c r="F266" s="111" t="s">
        <v>733</v>
      </c>
      <c r="H266" s="475">
        <f>IF(ISNUMBER(SEARCH(HOME_Country,TablePays[[#This Row],[Country_Names]])),1,0)</f>
        <v>1</v>
      </c>
      <c r="I266" s="30" t="str">
        <f>IF(J266&lt;&gt;"",INDEX(TablePays[Country_Names],J266),"")</f>
        <v>Denmark</v>
      </c>
      <c r="J266" s="30">
        <f t="array" ref="J266">IFERROR(MATCH(0,COUNTIF($I$217:I265,TablePays[Country_Names])+IF($H$218:$H$423=0,1,0),0),"")</f>
        <v>49</v>
      </c>
    </row>
    <row r="267" spans="2:10" x14ac:dyDescent="0.2">
      <c r="B267" s="475" t="s">
        <v>541</v>
      </c>
      <c r="C267" s="475">
        <v>99</v>
      </c>
      <c r="D267" s="475" t="s">
        <v>529</v>
      </c>
      <c r="F267" s="111"/>
      <c r="H267" s="475">
        <f>IF(ISNUMBER(SEARCH(HOME_Country,TablePays[[#This Row],[Country_Names]])),1,0)</f>
        <v>1</v>
      </c>
      <c r="I267" s="30" t="str">
        <f>IF(J267&lt;&gt;"",INDEX(TablePays[Country_Names],J267),"")</f>
        <v>Djibouti</v>
      </c>
      <c r="J267" s="30">
        <f t="array" ref="J267">IFERROR(MATCH(0,COUNTIF($I$217:I266,TablePays[Country_Names])+IF($H$218:$H$423=0,1,0),0),"")</f>
        <v>50</v>
      </c>
    </row>
    <row r="268" spans="2:10" x14ac:dyDescent="0.2">
      <c r="B268" s="475" t="s">
        <v>622</v>
      </c>
      <c r="C268" s="475">
        <v>99</v>
      </c>
      <c r="D268" s="475" t="s">
        <v>664</v>
      </c>
      <c r="F268" s="111"/>
      <c r="H268" s="475">
        <f>IF(ISNUMBER(SEARCH(HOME_Country,TablePays[[#This Row],[Country_Names]])),1,0)</f>
        <v>1</v>
      </c>
      <c r="I268" s="30" t="str">
        <f>IF(J268&lt;&gt;"",INDEX(TablePays[Country_Names],J268),"")</f>
        <v>Dominica</v>
      </c>
      <c r="J268" s="30">
        <f t="array" ref="J268">IFERROR(MATCH(0,COUNTIF($I$217:I267,TablePays[Country_Names])+IF($H$218:$H$423=0,1,0),0),"")</f>
        <v>51</v>
      </c>
    </row>
    <row r="269" spans="2:10" x14ac:dyDescent="0.2">
      <c r="B269" s="475" t="s">
        <v>666</v>
      </c>
      <c r="C269" s="475">
        <v>99</v>
      </c>
      <c r="D269" s="475" t="s">
        <v>664</v>
      </c>
      <c r="F269" s="111"/>
      <c r="H269" s="475">
        <f>IF(ISNUMBER(SEARCH(HOME_Country,TablePays[[#This Row],[Country_Names]])),1,0)</f>
        <v>1</v>
      </c>
      <c r="I269" s="30" t="str">
        <f>IF(J269&lt;&gt;"",INDEX(TablePays[Country_Names],J269),"")</f>
        <v>Dominican Republic</v>
      </c>
      <c r="J269" s="30">
        <f t="array" ref="J269">IFERROR(MATCH(0,COUNTIF($I$217:I268,TablePays[Country_Names])+IF($H$218:$H$423=0,1,0),0),"")</f>
        <v>52</v>
      </c>
    </row>
    <row r="270" spans="2:10" x14ac:dyDescent="0.2">
      <c r="B270" s="475" t="s">
        <v>655</v>
      </c>
      <c r="C270" s="475">
        <v>99</v>
      </c>
      <c r="D270" s="475" t="s">
        <v>571</v>
      </c>
      <c r="F270" s="111"/>
      <c r="H270" s="475">
        <f>IF(ISNUMBER(SEARCH(HOME_Country,TablePays[[#This Row],[Country_Names]])),1,0)</f>
        <v>1</v>
      </c>
      <c r="I270" s="30" t="str">
        <f>IF(J270&lt;&gt;"",INDEX(TablePays[Country_Names],J270),"")</f>
        <v>East Timor</v>
      </c>
      <c r="J270" s="30">
        <f t="array" ref="J270">IFERROR(MATCH(0,COUNTIF($I$217:I269,TablePays[Country_Names])+IF($H$218:$H$423=0,1,0),0),"")</f>
        <v>53</v>
      </c>
    </row>
    <row r="271" spans="2:10" x14ac:dyDescent="0.2">
      <c r="B271" s="475" t="s">
        <v>641</v>
      </c>
      <c r="C271" s="475">
        <v>99</v>
      </c>
      <c r="D271" s="475" t="s">
        <v>675</v>
      </c>
      <c r="F271" s="111"/>
      <c r="H271" s="475">
        <f>IF(ISNUMBER(SEARCH(HOME_Country,TablePays[[#This Row],[Country_Names]])),1,0)</f>
        <v>1</v>
      </c>
      <c r="I271" s="30" t="str">
        <f>IF(J271&lt;&gt;"",INDEX(TablePays[Country_Names],J271),"")</f>
        <v>Ecuador</v>
      </c>
      <c r="J271" s="30">
        <f t="array" ref="J271">IFERROR(MATCH(0,COUNTIF($I$217:I270,TablePays[Country_Names])+IF($H$218:$H$423=0,1,0),0),"")</f>
        <v>54</v>
      </c>
    </row>
    <row r="272" spans="2:10" x14ac:dyDescent="0.2">
      <c r="B272" s="475" t="s">
        <v>526</v>
      </c>
      <c r="C272" s="475">
        <v>21</v>
      </c>
      <c r="D272" s="475" t="s">
        <v>529</v>
      </c>
      <c r="E272" s="30">
        <v>1</v>
      </c>
      <c r="F272" s="111" t="s">
        <v>721</v>
      </c>
      <c r="H272" s="475">
        <f>IF(ISNUMBER(SEARCH(HOME_Country,TablePays[[#This Row],[Country_Names]])),1,0)</f>
        <v>1</v>
      </c>
      <c r="I272" s="30" t="str">
        <f>IF(J272&lt;&gt;"",INDEX(TablePays[Country_Names],J272),"")</f>
        <v>Egypt</v>
      </c>
      <c r="J272" s="30">
        <f t="array" ref="J272">IFERROR(MATCH(0,COUNTIF($I$217:I271,TablePays[Country_Names])+IF($H$218:$H$423=0,1,0),0),"")</f>
        <v>55</v>
      </c>
    </row>
    <row r="273" spans="2:10" x14ac:dyDescent="0.2">
      <c r="B273" s="475" t="s">
        <v>667</v>
      </c>
      <c r="C273" s="475">
        <v>99</v>
      </c>
      <c r="D273" s="475" t="s">
        <v>664</v>
      </c>
      <c r="F273" s="111"/>
      <c r="H273" s="475">
        <f>IF(ISNUMBER(SEARCH(HOME_Country,TablePays[[#This Row],[Country_Names]])),1,0)</f>
        <v>1</v>
      </c>
      <c r="I273" s="30" t="str">
        <f>IF(J273&lt;&gt;"",INDEX(TablePays[Country_Names],J273),"")</f>
        <v>El Salvador</v>
      </c>
      <c r="J273" s="30">
        <f t="array" ref="J273">IFERROR(MATCH(0,COUNTIF($I$217:I272,TablePays[Country_Names])+IF($H$218:$H$423=0,1,0),0),"")</f>
        <v>56</v>
      </c>
    </row>
    <row r="274" spans="2:10" x14ac:dyDescent="0.2">
      <c r="B274" s="475" t="s">
        <v>649</v>
      </c>
      <c r="C274" s="475">
        <v>99</v>
      </c>
      <c r="D274" s="475" t="s">
        <v>529</v>
      </c>
      <c r="F274" s="111"/>
      <c r="H274" s="475">
        <f>IF(ISNUMBER(SEARCH(HOME_Country,TablePays[[#This Row],[Country_Names]])),1,0)</f>
        <v>1</v>
      </c>
      <c r="I274" s="30" t="str">
        <f>IF(J274&lt;&gt;"",INDEX(TablePays[Country_Names],J274),"")</f>
        <v>Equatorial Guinea</v>
      </c>
      <c r="J274" s="30">
        <f t="array" ref="J274">IFERROR(MATCH(0,COUNTIF($I$217:I273,TablePays[Country_Names])+IF($H$218:$H$423=0,1,0),0),"")</f>
        <v>57</v>
      </c>
    </row>
    <row r="275" spans="2:10" x14ac:dyDescent="0.2">
      <c r="B275" s="475" t="s">
        <v>543</v>
      </c>
      <c r="C275" s="475">
        <v>99</v>
      </c>
      <c r="D275" s="475" t="s">
        <v>529</v>
      </c>
      <c r="F275" s="111"/>
      <c r="H275" s="475">
        <f>IF(ISNUMBER(SEARCH(HOME_Country,TablePays[[#This Row],[Country_Names]])),1,0)</f>
        <v>1</v>
      </c>
      <c r="I275" s="30" t="str">
        <f>IF(J275&lt;&gt;"",INDEX(TablePays[Country_Names],J275),"")</f>
        <v>Eritrea</v>
      </c>
      <c r="J275" s="30">
        <f t="array" ref="J275">IFERROR(MATCH(0,COUNTIF($I$217:I274,TablePays[Country_Names])+IF($H$218:$H$423=0,1,0),0),"")</f>
        <v>58</v>
      </c>
    </row>
    <row r="276" spans="2:10" x14ac:dyDescent="0.2">
      <c r="B276" s="475" t="s">
        <v>604</v>
      </c>
      <c r="C276" s="475">
        <v>99</v>
      </c>
      <c r="D276" s="475" t="s">
        <v>476</v>
      </c>
      <c r="F276" s="111"/>
      <c r="H276" s="475">
        <f>IF(ISNUMBER(SEARCH(HOME_Country,TablePays[[#This Row],[Country_Names]])),1,0)</f>
        <v>1</v>
      </c>
      <c r="I276" s="30" t="str">
        <f>IF(J276&lt;&gt;"",INDEX(TablePays[Country_Names],J276),"")</f>
        <v>Estonia</v>
      </c>
      <c r="J276" s="30">
        <f t="array" ref="J276">IFERROR(MATCH(0,COUNTIF($I$217:I275,TablePays[Country_Names])+IF($H$218:$H$423=0,1,0),0),"")</f>
        <v>59</v>
      </c>
    </row>
    <row r="277" spans="2:10" x14ac:dyDescent="0.2">
      <c r="B277" s="475" t="s">
        <v>524</v>
      </c>
      <c r="C277" s="475">
        <v>21</v>
      </c>
      <c r="D277" s="475" t="s">
        <v>529</v>
      </c>
      <c r="E277" s="30">
        <v>1</v>
      </c>
      <c r="F277" s="111" t="s">
        <v>722</v>
      </c>
      <c r="H277" s="475">
        <f>IF(ISNUMBER(SEARCH(HOME_Country,TablePays[[#This Row],[Country_Names]])),1,0)</f>
        <v>1</v>
      </c>
      <c r="I277" s="30" t="str">
        <f>IF(J277&lt;&gt;"",INDEX(TablePays[Country_Names],J277),"")</f>
        <v>Ethiopia</v>
      </c>
      <c r="J277" s="30">
        <f t="array" ref="J277">IFERROR(MATCH(0,COUNTIF($I$217:I276,TablePays[Country_Names])+IF($H$218:$H$423=0,1,0),0),"")</f>
        <v>60</v>
      </c>
    </row>
    <row r="278" spans="2:10" x14ac:dyDescent="0.2">
      <c r="B278" s="475" t="s">
        <v>631</v>
      </c>
      <c r="C278" s="475">
        <v>99</v>
      </c>
      <c r="D278" s="475" t="s">
        <v>630</v>
      </c>
      <c r="F278" s="111"/>
      <c r="H278" s="475">
        <f>IF(ISNUMBER(SEARCH(HOME_Country,TablePays[[#This Row],[Country_Names]])),1,0)</f>
        <v>1</v>
      </c>
      <c r="I278" s="30" t="str">
        <f>IF(J278&lt;&gt;"",INDEX(TablePays[Country_Names],J278),"")</f>
        <v>Fiji</v>
      </c>
      <c r="J278" s="30">
        <f t="array" ref="J278">IFERROR(MATCH(0,COUNTIF($I$217:I277,TablePays[Country_Names])+IF($H$218:$H$423=0,1,0),0),"")</f>
        <v>61</v>
      </c>
    </row>
    <row r="279" spans="2:10" x14ac:dyDescent="0.2">
      <c r="B279" s="111" t="s">
        <v>443</v>
      </c>
      <c r="C279" s="111">
        <f>9-3</f>
        <v>6</v>
      </c>
      <c r="D279" s="475" t="s">
        <v>476</v>
      </c>
      <c r="E279" s="30">
        <v>1</v>
      </c>
      <c r="F279" s="111" t="s">
        <v>733</v>
      </c>
      <c r="H279" s="475">
        <f>IF(ISNUMBER(SEARCH(HOME_Country,TablePays[[#This Row],[Country_Names]])),1,0)</f>
        <v>1</v>
      </c>
      <c r="I279" s="30" t="str">
        <f>IF(J279&lt;&gt;"",INDEX(TablePays[Country_Names],J279),"")</f>
        <v>Finland</v>
      </c>
      <c r="J279" s="30">
        <f t="array" ref="J279">IFERROR(MATCH(0,COUNTIF($I$217:I278,TablePays[Country_Names])+IF($H$218:$H$423=0,1,0),0),"")</f>
        <v>62</v>
      </c>
    </row>
    <row r="280" spans="2:10" x14ac:dyDescent="0.2">
      <c r="B280" s="111" t="s">
        <v>432</v>
      </c>
      <c r="C280" s="111">
        <f>7-1</f>
        <v>6</v>
      </c>
      <c r="D280" s="475" t="s">
        <v>476</v>
      </c>
      <c r="E280" s="30">
        <v>1</v>
      </c>
      <c r="F280" s="111" t="s">
        <v>731</v>
      </c>
      <c r="H280" s="475">
        <f>IF(ISNUMBER(SEARCH(HOME_Country,TablePays[[#This Row],[Country_Names]])),1,0)</f>
        <v>1</v>
      </c>
      <c r="I280" s="30" t="str">
        <f>IF(J280&lt;&gt;"",INDEX(TablePays[Country_Names],J280),"")</f>
        <v>France</v>
      </c>
      <c r="J280" s="30">
        <f t="array" ref="J280">IFERROR(MATCH(0,COUNTIF($I$217:I279,TablePays[Country_Names])+IF($H$218:$H$423=0,1,0),0),"")</f>
        <v>63</v>
      </c>
    </row>
    <row r="281" spans="2:10" x14ac:dyDescent="0.2">
      <c r="B281" s="475" t="s">
        <v>544</v>
      </c>
      <c r="C281" s="475">
        <v>99</v>
      </c>
      <c r="D281" s="475" t="s">
        <v>529</v>
      </c>
      <c r="F281" s="111"/>
      <c r="H281" s="475">
        <f>IF(ISNUMBER(SEARCH(HOME_Country,TablePays[[#This Row],[Country_Names]])),1,0)</f>
        <v>1</v>
      </c>
      <c r="I281" s="30" t="str">
        <f>IF(J281&lt;&gt;"",INDEX(TablePays[Country_Names],J281),"")</f>
        <v>Gabon</v>
      </c>
      <c r="J281" s="30">
        <f t="array" ref="J281">IFERROR(MATCH(0,COUNTIF($I$217:I280,TablePays[Country_Names])+IF($H$218:$H$423=0,1,0),0),"")</f>
        <v>64</v>
      </c>
    </row>
    <row r="282" spans="2:10" x14ac:dyDescent="0.2">
      <c r="B282" s="475" t="s">
        <v>545</v>
      </c>
      <c r="C282" s="475">
        <v>99</v>
      </c>
      <c r="D282" s="475" t="s">
        <v>529</v>
      </c>
      <c r="F282" s="111"/>
      <c r="H282" s="475">
        <f>IF(ISNUMBER(SEARCH(HOME_Country,TablePays[[#This Row],[Country_Names]])),1,0)</f>
        <v>1</v>
      </c>
      <c r="I282" s="30" t="str">
        <f>IF(J282&lt;&gt;"",INDEX(TablePays[Country_Names],J282),"")</f>
        <v>Gambia</v>
      </c>
      <c r="J282" s="30">
        <f t="array" ref="J282">IFERROR(MATCH(0,COUNTIF($I$217:I281,TablePays[Country_Names])+IF($H$218:$H$423=0,1,0),0),"")</f>
        <v>65</v>
      </c>
    </row>
    <row r="283" spans="2:10" x14ac:dyDescent="0.2">
      <c r="B283" s="475" t="s">
        <v>605</v>
      </c>
      <c r="C283" s="475">
        <v>99</v>
      </c>
      <c r="D283" s="475" t="s">
        <v>476</v>
      </c>
      <c r="F283" s="111"/>
      <c r="H283" s="475">
        <f>IF(ISNUMBER(SEARCH(HOME_Country,TablePays[[#This Row],[Country_Names]])),1,0)</f>
        <v>1</v>
      </c>
      <c r="I283" s="30" t="str">
        <f>IF(J283&lt;&gt;"",INDEX(TablePays[Country_Names],J283),"")</f>
        <v>Georgia</v>
      </c>
      <c r="J283" s="30">
        <f t="array" ref="J283">IFERROR(MATCH(0,COUNTIF($I$217:I282,TablePays[Country_Names])+IF($H$218:$H$423=0,1,0),0),"")</f>
        <v>66</v>
      </c>
    </row>
    <row r="284" spans="2:10" x14ac:dyDescent="0.2">
      <c r="B284" s="111" t="s">
        <v>283</v>
      </c>
      <c r="C284" s="111">
        <v>6</v>
      </c>
      <c r="D284" s="475" t="s">
        <v>476</v>
      </c>
      <c r="E284" s="30">
        <v>1</v>
      </c>
      <c r="F284" s="111" t="s">
        <v>730</v>
      </c>
      <c r="H284" s="475">
        <f>IF(ISNUMBER(SEARCH(HOME_Country,TablePays[[#This Row],[Country_Names]])),1,0)</f>
        <v>1</v>
      </c>
      <c r="I284" s="30" t="str">
        <f>IF(J284&lt;&gt;"",INDEX(TablePays[Country_Names],J284),"")</f>
        <v>Germany</v>
      </c>
      <c r="J284" s="30">
        <f t="array" ref="J284">IFERROR(MATCH(0,COUNTIF($I$217:I283,TablePays[Country_Names])+IF($H$218:$H$423=0,1,0),0),"")</f>
        <v>67</v>
      </c>
    </row>
    <row r="285" spans="2:10" x14ac:dyDescent="0.2">
      <c r="B285" s="475" t="s">
        <v>546</v>
      </c>
      <c r="C285" s="475">
        <v>99</v>
      </c>
      <c r="D285" s="475" t="s">
        <v>529</v>
      </c>
      <c r="F285" s="111"/>
      <c r="H285" s="475">
        <f>IF(ISNUMBER(SEARCH(HOME_Country,TablePays[[#This Row],[Country_Names]])),1,0)</f>
        <v>1</v>
      </c>
      <c r="I285" s="30" t="str">
        <f>IF(J285&lt;&gt;"",INDEX(TablePays[Country_Names],J285),"")</f>
        <v>Ghana</v>
      </c>
      <c r="J285" s="30">
        <f t="array" ref="J285">IFERROR(MATCH(0,COUNTIF($I$217:I284,TablePays[Country_Names])+IF($H$218:$H$423=0,1,0),0),"")</f>
        <v>68</v>
      </c>
    </row>
    <row r="286" spans="2:10" x14ac:dyDescent="0.2">
      <c r="B286" s="111" t="s">
        <v>440</v>
      </c>
      <c r="C286" s="111">
        <f>8-2</f>
        <v>6</v>
      </c>
      <c r="D286" s="475" t="s">
        <v>476</v>
      </c>
      <c r="E286" s="30">
        <v>1</v>
      </c>
      <c r="F286" s="111" t="s">
        <v>734</v>
      </c>
      <c r="H286" s="475">
        <f>IF(ISNUMBER(SEARCH(HOME_Country,TablePays[[#This Row],[Country_Names]])),1,0)</f>
        <v>1</v>
      </c>
      <c r="I286" s="30" t="str">
        <f>IF(J286&lt;&gt;"",INDEX(TablePays[Country_Names],J286),"")</f>
        <v>Greece</v>
      </c>
      <c r="J286" s="30">
        <f t="array" ref="J286">IFERROR(MATCH(0,COUNTIF($I$217:I285,TablePays[Country_Names])+IF($H$218:$H$423=0,1,0),0),"")</f>
        <v>69</v>
      </c>
    </row>
    <row r="287" spans="2:10" x14ac:dyDescent="0.2">
      <c r="B287" s="475" t="s">
        <v>623</v>
      </c>
      <c r="C287" s="475">
        <v>99</v>
      </c>
      <c r="D287" s="475" t="s">
        <v>664</v>
      </c>
      <c r="F287" s="111"/>
      <c r="H287" s="475">
        <f>IF(ISNUMBER(SEARCH(HOME_Country,TablePays[[#This Row],[Country_Names]])),1,0)</f>
        <v>1</v>
      </c>
      <c r="I287" s="30" t="str">
        <f>IF(J287&lt;&gt;"",INDEX(TablePays[Country_Names],J287),"")</f>
        <v>Grenada</v>
      </c>
      <c r="J287" s="30">
        <f t="array" ref="J287">IFERROR(MATCH(0,COUNTIF($I$217:I286,TablePays[Country_Names])+IF($H$218:$H$423=0,1,0),0),"")</f>
        <v>70</v>
      </c>
    </row>
    <row r="288" spans="2:10" x14ac:dyDescent="0.2">
      <c r="B288" s="475" t="s">
        <v>624</v>
      </c>
      <c r="C288" s="475">
        <v>99</v>
      </c>
      <c r="D288" s="475" t="s">
        <v>664</v>
      </c>
      <c r="F288" s="111"/>
      <c r="H288" s="475">
        <f>IF(ISNUMBER(SEARCH(HOME_Country,TablePays[[#This Row],[Country_Names]])),1,0)</f>
        <v>1</v>
      </c>
      <c r="I288" s="30" t="str">
        <f>IF(J288&lt;&gt;"",INDEX(TablePays[Country_Names],J288),"")</f>
        <v>Guatemala</v>
      </c>
      <c r="J288" s="30">
        <f t="array" ref="J288">IFERROR(MATCH(0,COUNTIF($I$217:I287,TablePays[Country_Names])+IF($H$218:$H$423=0,1,0),0),"")</f>
        <v>71</v>
      </c>
    </row>
    <row r="289" spans="2:10" x14ac:dyDescent="0.2">
      <c r="B289" s="475" t="s">
        <v>542</v>
      </c>
      <c r="C289" s="475">
        <v>99</v>
      </c>
      <c r="D289" s="475" t="s">
        <v>529</v>
      </c>
      <c r="F289" s="111"/>
      <c r="H289" s="475">
        <f>IF(ISNUMBER(SEARCH(HOME_Country,TablePays[[#This Row],[Country_Names]])),1,0)</f>
        <v>1</v>
      </c>
      <c r="I289" s="30" t="str">
        <f>IF(J289&lt;&gt;"",INDEX(TablePays[Country_Names],J289),"")</f>
        <v>Guinea</v>
      </c>
      <c r="J289" s="30">
        <f t="array" ref="J289">IFERROR(MATCH(0,COUNTIF($I$217:I288,TablePays[Country_Names])+IF($H$218:$H$423=0,1,0),0),"")</f>
        <v>72</v>
      </c>
    </row>
    <row r="290" spans="2:10" x14ac:dyDescent="0.2">
      <c r="B290" s="475" t="s">
        <v>547</v>
      </c>
      <c r="C290" s="475">
        <v>99</v>
      </c>
      <c r="D290" s="475" t="s">
        <v>529</v>
      </c>
      <c r="F290" s="111"/>
      <c r="H290" s="475">
        <f>IF(ISNUMBER(SEARCH(HOME_Country,TablePays[[#This Row],[Country_Names]])),1,0)</f>
        <v>1</v>
      </c>
      <c r="I290" s="30" t="str">
        <f>IF(J290&lt;&gt;"",INDEX(TablePays[Country_Names],J290),"")</f>
        <v>Guinea-Bissau</v>
      </c>
      <c r="J290" s="30">
        <f t="array" ref="J290">IFERROR(MATCH(0,COUNTIF($I$217:I289,TablePays[Country_Names])+IF($H$218:$H$423=0,1,0),0),"")</f>
        <v>73</v>
      </c>
    </row>
    <row r="291" spans="2:10" x14ac:dyDescent="0.2">
      <c r="B291" s="475" t="s">
        <v>642</v>
      </c>
      <c r="C291" s="475">
        <v>99</v>
      </c>
      <c r="D291" s="475" t="s">
        <v>675</v>
      </c>
      <c r="F291" s="111"/>
      <c r="H291" s="475">
        <f>IF(ISNUMBER(SEARCH(HOME_Country,TablePays[[#This Row],[Country_Names]])),1,0)</f>
        <v>1</v>
      </c>
      <c r="I291" s="30" t="str">
        <f>IF(J291&lt;&gt;"",INDEX(TablePays[Country_Names],J291),"")</f>
        <v>Guyana</v>
      </c>
      <c r="J291" s="30">
        <f t="array" ref="J291">IFERROR(MATCH(0,COUNTIF($I$217:I290,TablePays[Country_Names])+IF($H$218:$H$423=0,1,0),0),"")</f>
        <v>74</v>
      </c>
    </row>
    <row r="292" spans="2:10" x14ac:dyDescent="0.2">
      <c r="B292" s="475" t="s">
        <v>625</v>
      </c>
      <c r="C292" s="475">
        <v>99</v>
      </c>
      <c r="D292" s="475" t="s">
        <v>664</v>
      </c>
      <c r="F292" s="111"/>
      <c r="H292" s="475">
        <f>IF(ISNUMBER(SEARCH(HOME_Country,TablePays[[#This Row],[Country_Names]])),1,0)</f>
        <v>1</v>
      </c>
      <c r="I292" s="30" t="str">
        <f>IF(J292&lt;&gt;"",INDEX(TablePays[Country_Names],J292),"")</f>
        <v>Haiti</v>
      </c>
      <c r="J292" s="30">
        <f t="array" ref="J292">IFERROR(MATCH(0,COUNTIF($I$217:I291,TablePays[Country_Names])+IF($H$218:$H$423=0,1,0),0),"")</f>
        <v>75</v>
      </c>
    </row>
    <row r="293" spans="2:10" x14ac:dyDescent="0.2">
      <c r="B293" s="475" t="s">
        <v>626</v>
      </c>
      <c r="C293" s="475">
        <v>99</v>
      </c>
      <c r="D293" s="475" t="s">
        <v>664</v>
      </c>
      <c r="F293" s="111"/>
      <c r="H293" s="475">
        <f>IF(ISNUMBER(SEARCH(HOME_Country,TablePays[[#This Row],[Country_Names]])),1,0)</f>
        <v>1</v>
      </c>
      <c r="I293" s="30" t="str">
        <f>IF(J293&lt;&gt;"",INDEX(TablePays[Country_Names],J293),"")</f>
        <v>Honduras</v>
      </c>
      <c r="J293" s="30">
        <f t="array" ref="J293">IFERROR(MATCH(0,COUNTIF($I$217:I292,TablePays[Country_Names])+IF($H$218:$H$423=0,1,0),0),"")</f>
        <v>76</v>
      </c>
    </row>
    <row r="294" spans="2:10" x14ac:dyDescent="0.2">
      <c r="B294" s="111" t="s">
        <v>462</v>
      </c>
      <c r="C294" s="111">
        <v>12</v>
      </c>
      <c r="D294" s="475" t="s">
        <v>571</v>
      </c>
      <c r="E294" s="30">
        <v>1</v>
      </c>
      <c r="F294" s="111" t="s">
        <v>725</v>
      </c>
      <c r="H294" s="475">
        <f>IF(ISNUMBER(SEARCH(HOME_Country,TablePays[[#This Row],[Country_Names]])),1,0)</f>
        <v>1</v>
      </c>
      <c r="I294" s="30" t="str">
        <f>IF(J294&lt;&gt;"",INDEX(TablePays[Country_Names],J294),"")</f>
        <v>Hong Kong</v>
      </c>
      <c r="J294" s="30">
        <f t="array" ref="J294">IFERROR(MATCH(0,COUNTIF($I$217:I293,TablePays[Country_Names])+IF($H$218:$H$423=0,1,0),0),"")</f>
        <v>77</v>
      </c>
    </row>
    <row r="295" spans="2:10" x14ac:dyDescent="0.2">
      <c r="B295" s="111" t="s">
        <v>429</v>
      </c>
      <c r="C295" s="111">
        <v>6</v>
      </c>
      <c r="D295" s="475" t="s">
        <v>476</v>
      </c>
      <c r="E295" s="30">
        <v>1</v>
      </c>
      <c r="F295" s="111" t="s">
        <v>730</v>
      </c>
      <c r="H295" s="475">
        <f>IF(ISNUMBER(SEARCH(HOME_Country,TablePays[[#This Row],[Country_Names]])),1,0)</f>
        <v>1</v>
      </c>
      <c r="I295" s="30" t="str">
        <f>IF(J295&lt;&gt;"",INDEX(TablePays[Country_Names],J295),"")</f>
        <v>Hungary</v>
      </c>
      <c r="J295" s="30">
        <f t="array" ref="J295">IFERROR(MATCH(0,COUNTIF($I$217:I294,TablePays[Country_Names])+IF($H$218:$H$423=0,1,0),0),"")</f>
        <v>78</v>
      </c>
    </row>
    <row r="296" spans="2:10" x14ac:dyDescent="0.2">
      <c r="B296" s="111" t="s">
        <v>459</v>
      </c>
      <c r="C296" s="111">
        <v>20</v>
      </c>
      <c r="D296" s="475" t="s">
        <v>476</v>
      </c>
      <c r="E296" s="30">
        <v>1</v>
      </c>
      <c r="F296" s="111" t="s">
        <v>733</v>
      </c>
      <c r="H296" s="475">
        <f>IF(ISNUMBER(SEARCH(HOME_Country,TablePays[[#This Row],[Country_Names]])),1,0)</f>
        <v>1</v>
      </c>
      <c r="I296" s="30" t="str">
        <f>IF(J296&lt;&gt;"",INDEX(TablePays[Country_Names],J296),"")</f>
        <v>Iceland</v>
      </c>
      <c r="J296" s="30">
        <f t="array" ref="J296">IFERROR(MATCH(0,COUNTIF($I$217:I295,TablePays[Country_Names])+IF($H$218:$H$423=0,1,0),0),"")</f>
        <v>79</v>
      </c>
    </row>
    <row r="297" spans="2:10" x14ac:dyDescent="0.2">
      <c r="B297" s="111" t="s">
        <v>287</v>
      </c>
      <c r="C297" s="111">
        <v>17</v>
      </c>
      <c r="D297" s="475" t="s">
        <v>571</v>
      </c>
      <c r="E297" s="30">
        <v>1</v>
      </c>
      <c r="F297" s="111" t="s">
        <v>726</v>
      </c>
      <c r="H297" s="475">
        <f>IF(ISNUMBER(SEARCH(HOME_Country,TablePays[[#This Row],[Country_Names]])),1,0)</f>
        <v>1</v>
      </c>
      <c r="I297" s="30" t="str">
        <f>IF(J297&lt;&gt;"",INDEX(TablePays[Country_Names],J297),"")</f>
        <v>India</v>
      </c>
      <c r="J297" s="30">
        <f t="array" ref="J297">IFERROR(MATCH(0,COUNTIF($I$217:I296,TablePays[Country_Names])+IF($H$218:$H$423=0,1,0),0),"")</f>
        <v>80</v>
      </c>
    </row>
    <row r="298" spans="2:10" x14ac:dyDescent="0.2">
      <c r="B298" s="111" t="s">
        <v>451</v>
      </c>
      <c r="C298" s="111">
        <v>15</v>
      </c>
      <c r="D298" s="475" t="s">
        <v>571</v>
      </c>
      <c r="E298" s="30">
        <v>1</v>
      </c>
      <c r="F298" s="111" t="s">
        <v>727</v>
      </c>
      <c r="H298" s="475">
        <f>IF(ISNUMBER(SEARCH(HOME_Country,TablePays[[#This Row],[Country_Names]])),1,0)</f>
        <v>1</v>
      </c>
      <c r="I298" s="30" t="str">
        <f>IF(J298&lt;&gt;"",INDEX(TablePays[Country_Names],J298),"")</f>
        <v>Indonesia</v>
      </c>
      <c r="J298" s="30">
        <f t="array" ref="J298">IFERROR(MATCH(0,COUNTIF($I$217:I297,TablePays[Country_Names])+IF($H$218:$H$423=0,1,0),0),"")</f>
        <v>81</v>
      </c>
    </row>
    <row r="299" spans="2:10" x14ac:dyDescent="0.2">
      <c r="B299" s="475" t="s">
        <v>578</v>
      </c>
      <c r="C299" s="475">
        <v>99</v>
      </c>
      <c r="D299" s="475" t="s">
        <v>571</v>
      </c>
      <c r="F299" s="111"/>
      <c r="H299" s="475">
        <f>IF(ISNUMBER(SEARCH(HOME_Country,TablePays[[#This Row],[Country_Names]])),1,0)</f>
        <v>1</v>
      </c>
      <c r="I299" s="30" t="str">
        <f>IF(J299&lt;&gt;"",INDEX(TablePays[Country_Names],J299),"")</f>
        <v>Iran</v>
      </c>
      <c r="J299" s="30">
        <f t="array" ref="J299">IFERROR(MATCH(0,COUNTIF($I$217:I298,TablePays[Country_Names])+IF($H$218:$H$423=0,1,0),0),"")</f>
        <v>82</v>
      </c>
    </row>
    <row r="300" spans="2:10" x14ac:dyDescent="0.2">
      <c r="B300" s="475" t="s">
        <v>579</v>
      </c>
      <c r="C300" s="475">
        <v>99</v>
      </c>
      <c r="D300" s="475" t="s">
        <v>571</v>
      </c>
      <c r="F300" s="111"/>
      <c r="H300" s="475">
        <f>IF(ISNUMBER(SEARCH(HOME_Country,TablePays[[#This Row],[Country_Names]])),1,0)</f>
        <v>1</v>
      </c>
      <c r="I300" s="30" t="str">
        <f>IF(J300&lt;&gt;"",INDEX(TablePays[Country_Names],J300),"")</f>
        <v>Iraq</v>
      </c>
      <c r="J300" s="30">
        <f t="array" ref="J300">IFERROR(MATCH(0,COUNTIF($I$217:I299,TablePays[Country_Names])+IF($H$218:$H$423=0,1,0),0),"")</f>
        <v>83</v>
      </c>
    </row>
    <row r="301" spans="2:10" x14ac:dyDescent="0.2">
      <c r="B301" s="111" t="s">
        <v>434</v>
      </c>
      <c r="C301" s="111">
        <f>7-1</f>
        <v>6</v>
      </c>
      <c r="D301" s="475" t="s">
        <v>476</v>
      </c>
      <c r="E301" s="30">
        <v>1</v>
      </c>
      <c r="F301" s="111" t="s">
        <v>737</v>
      </c>
      <c r="H301" s="475">
        <f>IF(ISNUMBER(SEARCH(HOME_Country,TablePays[[#This Row],[Country_Names]])),1,0)</f>
        <v>1</v>
      </c>
      <c r="I301" s="30" t="str">
        <f>IF(J301&lt;&gt;"",INDEX(TablePays[Country_Names],J301),"")</f>
        <v>Ireland</v>
      </c>
      <c r="J301" s="30">
        <f t="array" ref="J301">IFERROR(MATCH(0,COUNTIF($I$217:I300,TablePays[Country_Names])+IF($H$218:$H$423=0,1,0),0),"")</f>
        <v>84</v>
      </c>
    </row>
    <row r="302" spans="2:10" x14ac:dyDescent="0.2">
      <c r="B302" s="475" t="s">
        <v>580</v>
      </c>
      <c r="C302" s="475">
        <v>99</v>
      </c>
      <c r="D302" s="475" t="s">
        <v>571</v>
      </c>
      <c r="F302" s="111"/>
      <c r="H302" s="475">
        <f>IF(ISNUMBER(SEARCH(HOME_Country,TablePays[[#This Row],[Country_Names]])),1,0)</f>
        <v>1</v>
      </c>
      <c r="I302" s="30" t="str">
        <f>IF(J302&lt;&gt;"",INDEX(TablePays[Country_Names],J302),"")</f>
        <v>Israel</v>
      </c>
      <c r="J302" s="30">
        <f t="array" ref="J302">IFERROR(MATCH(0,COUNTIF($I$217:I301,TablePays[Country_Names])+IF($H$218:$H$423=0,1,0),0),"")</f>
        <v>85</v>
      </c>
    </row>
    <row r="303" spans="2:10" x14ac:dyDescent="0.2">
      <c r="B303" s="111" t="s">
        <v>439</v>
      </c>
      <c r="C303" s="111">
        <f>8-2</f>
        <v>6</v>
      </c>
      <c r="D303" s="475" t="s">
        <v>476</v>
      </c>
      <c r="E303" s="30">
        <v>1</v>
      </c>
      <c r="F303" s="111" t="s">
        <v>732</v>
      </c>
      <c r="H303" s="475">
        <f>IF(ISNUMBER(SEARCH(HOME_Country,TablePays[[#This Row],[Country_Names]])),1,0)</f>
        <v>1</v>
      </c>
      <c r="I303" s="30" t="str">
        <f>IF(J303&lt;&gt;"",INDEX(TablePays[Country_Names],J303),"")</f>
        <v>Italy</v>
      </c>
      <c r="J303" s="30">
        <f t="array" ref="J303">IFERROR(MATCH(0,COUNTIF($I$217:I302,TablePays[Country_Names])+IF($H$218:$H$423=0,1,0),0),"")</f>
        <v>86</v>
      </c>
    </row>
    <row r="304" spans="2:10" x14ac:dyDescent="0.2">
      <c r="B304" s="475" t="s">
        <v>650</v>
      </c>
      <c r="C304" s="475">
        <v>99</v>
      </c>
      <c r="D304" s="475" t="s">
        <v>529</v>
      </c>
      <c r="F304" s="111"/>
      <c r="H304" s="475">
        <f>IF(ISNUMBER(SEARCH(HOME_Country,TablePays[[#This Row],[Country_Names]])),1,0)</f>
        <v>1</v>
      </c>
      <c r="I304" s="30" t="str">
        <f>IF(J304&lt;&gt;"",INDEX(TablePays[Country_Names],J304),"")</f>
        <v>Ivory Coast</v>
      </c>
      <c r="J304" s="30">
        <f t="array" ref="J304">IFERROR(MATCH(0,COUNTIF($I$217:I303,TablePays[Country_Names])+IF($H$218:$H$423=0,1,0),0),"")</f>
        <v>87</v>
      </c>
    </row>
    <row r="305" spans="2:10" x14ac:dyDescent="0.2">
      <c r="B305" s="475" t="s">
        <v>627</v>
      </c>
      <c r="C305" s="475">
        <v>99</v>
      </c>
      <c r="D305" s="475" t="s">
        <v>664</v>
      </c>
      <c r="F305" s="111"/>
      <c r="H305" s="475">
        <f>IF(ISNUMBER(SEARCH(HOME_Country,TablePays[[#This Row],[Country_Names]])),1,0)</f>
        <v>1</v>
      </c>
      <c r="I305" s="30" t="str">
        <f>IF(J305&lt;&gt;"",INDEX(TablePays[Country_Names],J305),"")</f>
        <v>Jamaica</v>
      </c>
      <c r="J305" s="30">
        <f t="array" ref="J305">IFERROR(MATCH(0,COUNTIF($I$217:I304,TablePays[Country_Names])+IF($H$218:$H$423=0,1,0),0),"")</f>
        <v>88</v>
      </c>
    </row>
    <row r="306" spans="2:10" x14ac:dyDescent="0.2">
      <c r="B306" s="111" t="s">
        <v>310</v>
      </c>
      <c r="C306" s="111">
        <v>13</v>
      </c>
      <c r="D306" s="475" t="s">
        <v>571</v>
      </c>
      <c r="E306" s="30">
        <v>1</v>
      </c>
      <c r="F306" s="111" t="s">
        <v>725</v>
      </c>
      <c r="H306" s="475">
        <f>IF(ISNUMBER(SEARCH(HOME_Country,TablePays[[#This Row],[Country_Names]])),1,0)</f>
        <v>1</v>
      </c>
      <c r="I306" s="30" t="str">
        <f>IF(J306&lt;&gt;"",INDEX(TablePays[Country_Names],J306),"")</f>
        <v>Japan</v>
      </c>
      <c r="J306" s="30">
        <f t="array" ref="J306">IFERROR(MATCH(0,COUNTIF($I$217:I305,TablePays[Country_Names])+IF($H$218:$H$423=0,1,0),0),"")</f>
        <v>89</v>
      </c>
    </row>
    <row r="307" spans="2:10" x14ac:dyDescent="0.2">
      <c r="B307" s="475" t="s">
        <v>581</v>
      </c>
      <c r="C307" s="475">
        <v>99</v>
      </c>
      <c r="D307" s="475" t="s">
        <v>571</v>
      </c>
      <c r="F307" s="111"/>
      <c r="H307" s="475">
        <f>IF(ISNUMBER(SEARCH(HOME_Country,TablePays[[#This Row],[Country_Names]])),1,0)</f>
        <v>1</v>
      </c>
      <c r="I307" s="30" t="str">
        <f>IF(J307&lt;&gt;"",INDEX(TablePays[Country_Names],J307),"")</f>
        <v>Jordan</v>
      </c>
      <c r="J307" s="30">
        <f t="array" ref="J307">IFERROR(MATCH(0,COUNTIF($I$217:I306,TablePays[Country_Names])+IF($H$218:$H$423=0,1,0),0),"")</f>
        <v>90</v>
      </c>
    </row>
    <row r="308" spans="2:10" x14ac:dyDescent="0.2">
      <c r="B308" s="475" t="s">
        <v>155</v>
      </c>
      <c r="C308" s="475">
        <v>99</v>
      </c>
      <c r="D308" s="475" t="s">
        <v>571</v>
      </c>
      <c r="F308" s="111"/>
      <c r="H308" s="475">
        <f>IF(ISNUMBER(SEARCH(HOME_Country,TablePays[[#This Row],[Country_Names]])),1,0)</f>
        <v>1</v>
      </c>
      <c r="I308" s="30" t="str">
        <f>IF(J308&lt;&gt;"",INDEX(TablePays[Country_Names],J308),"")</f>
        <v>Kazakhstan</v>
      </c>
      <c r="J308" s="30">
        <f t="array" ref="J308">IFERROR(MATCH(0,COUNTIF($I$217:I307,TablePays[Country_Names])+IF($H$218:$H$423=0,1,0),0),"")</f>
        <v>91</v>
      </c>
    </row>
    <row r="309" spans="2:10" x14ac:dyDescent="0.2">
      <c r="B309" s="475" t="s">
        <v>523</v>
      </c>
      <c r="C309" s="475">
        <v>21</v>
      </c>
      <c r="D309" s="475" t="s">
        <v>529</v>
      </c>
      <c r="E309" s="30">
        <v>1</v>
      </c>
      <c r="F309" s="111" t="s">
        <v>722</v>
      </c>
      <c r="H309" s="475">
        <f>IF(ISNUMBER(SEARCH(HOME_Country,TablePays[[#This Row],[Country_Names]])),1,0)</f>
        <v>1</v>
      </c>
      <c r="I309" s="30" t="str">
        <f>IF(J309&lt;&gt;"",INDEX(TablePays[Country_Names],J309),"")</f>
        <v>Kenya</v>
      </c>
      <c r="J309" s="30">
        <f t="array" ref="J309">IFERROR(MATCH(0,COUNTIF($I$217:I308,TablePays[Country_Names])+IF($H$218:$H$423=0,1,0),0),"")</f>
        <v>92</v>
      </c>
    </row>
    <row r="310" spans="2:10" x14ac:dyDescent="0.2">
      <c r="B310" s="475" t="s">
        <v>632</v>
      </c>
      <c r="C310" s="475">
        <v>99</v>
      </c>
      <c r="D310" s="475" t="s">
        <v>630</v>
      </c>
      <c r="F310" s="111"/>
      <c r="H310" s="475">
        <f>IF(ISNUMBER(SEARCH(HOME_Country,TablePays[[#This Row],[Country_Names]])),1,0)</f>
        <v>1</v>
      </c>
      <c r="I310" s="30" t="str">
        <f>IF(J310&lt;&gt;"",INDEX(TablePays[Country_Names],J310),"")</f>
        <v>Kiribati</v>
      </c>
      <c r="J310" s="30">
        <f t="array" ref="J310">IFERROR(MATCH(0,COUNTIF($I$217:I309,TablePays[Country_Names])+IF($H$218:$H$423=0,1,0),0),"")</f>
        <v>93</v>
      </c>
    </row>
    <row r="311" spans="2:10" x14ac:dyDescent="0.2">
      <c r="B311" s="475"/>
      <c r="C311" s="475">
        <v>99</v>
      </c>
      <c r="D311" s="475" t="s">
        <v>571</v>
      </c>
      <c r="F311" s="111"/>
      <c r="H311" s="475">
        <f>IF(ISNUMBER(SEARCH(HOME_Country,TablePays[[#This Row],[Country_Names]])),1,0)</f>
        <v>0</v>
      </c>
      <c r="I311" s="30" t="str">
        <f>IF(J311&lt;&gt;"",INDEX(TablePays[Country_Names],J311),"")</f>
        <v>Korea</v>
      </c>
      <c r="J311" s="30">
        <f t="array" ref="J311">IFERROR(MATCH(0,COUNTIF($I$217:I310,TablePays[Country_Names])+IF($H$218:$H$423=0,1,0),0),"")</f>
        <v>95</v>
      </c>
    </row>
    <row r="312" spans="2:10" x14ac:dyDescent="0.2">
      <c r="B312" s="111" t="s">
        <v>779</v>
      </c>
      <c r="C312" s="111">
        <v>15</v>
      </c>
      <c r="D312" s="475" t="s">
        <v>571</v>
      </c>
      <c r="E312" s="30">
        <v>1</v>
      </c>
      <c r="F312" s="111" t="s">
        <v>725</v>
      </c>
      <c r="H312" s="475">
        <f>IF(ISNUMBER(SEARCH(HOME_Country,TablePays[[#This Row],[Country_Names]])),1,0)</f>
        <v>1</v>
      </c>
      <c r="I312" s="30" t="str">
        <f>IF(J312&lt;&gt;"",INDEX(TablePays[Country_Names],J312),"")</f>
        <v>Kuwait</v>
      </c>
      <c r="J312" s="30">
        <f t="array" ref="J312">IFERROR(MATCH(0,COUNTIF($I$217:I311,TablePays[Country_Names])+IF($H$218:$H$423=0,1,0),0),"")</f>
        <v>96</v>
      </c>
    </row>
    <row r="313" spans="2:10" x14ac:dyDescent="0.2">
      <c r="B313" s="475" t="s">
        <v>582</v>
      </c>
      <c r="C313" s="475">
        <v>99</v>
      </c>
      <c r="D313" s="475" t="s">
        <v>571</v>
      </c>
      <c r="F313" s="111"/>
      <c r="H313" s="475">
        <f>IF(ISNUMBER(SEARCH(HOME_Country,TablePays[[#This Row],[Country_Names]])),1,0)</f>
        <v>1</v>
      </c>
      <c r="I313" s="30" t="str">
        <f>IF(J313&lt;&gt;"",INDEX(TablePays[Country_Names],J313),"")</f>
        <v>Kyrgyzstan</v>
      </c>
      <c r="J313" s="30">
        <f t="array" ref="J313">IFERROR(MATCH(0,COUNTIF($I$217:I312,TablePays[Country_Names])+IF($H$218:$H$423=0,1,0),0),"")</f>
        <v>97</v>
      </c>
    </row>
    <row r="314" spans="2:10" x14ac:dyDescent="0.2">
      <c r="B314" s="475" t="s">
        <v>583</v>
      </c>
      <c r="C314" s="475">
        <v>99</v>
      </c>
      <c r="D314" s="475" t="s">
        <v>571</v>
      </c>
      <c r="F314" s="111"/>
      <c r="H314" s="475">
        <f>IF(ISNUMBER(SEARCH(HOME_Country,TablePays[[#This Row],[Country_Names]])),1,0)</f>
        <v>1</v>
      </c>
      <c r="I314" s="30" t="str">
        <f>IF(J314&lt;&gt;"",INDEX(TablePays[Country_Names],J314),"")</f>
        <v>Laos</v>
      </c>
      <c r="J314" s="30">
        <f t="array" ref="J314">IFERROR(MATCH(0,COUNTIF($I$217:I313,TablePays[Country_Names])+IF($H$218:$H$423=0,1,0),0),"")</f>
        <v>98</v>
      </c>
    </row>
    <row r="315" spans="2:10" x14ac:dyDescent="0.2">
      <c r="B315" s="475" t="s">
        <v>584</v>
      </c>
      <c r="C315" s="475">
        <v>99</v>
      </c>
      <c r="D315" s="475" t="s">
        <v>571</v>
      </c>
      <c r="F315" s="111"/>
      <c r="H315" s="475">
        <f>IF(ISNUMBER(SEARCH(HOME_Country,TablePays[[#This Row],[Country_Names]])),1,0)</f>
        <v>1</v>
      </c>
      <c r="I315" s="30" t="str">
        <f>IF(J315&lt;&gt;"",INDEX(TablePays[Country_Names],J315),"")</f>
        <v>Latvia</v>
      </c>
      <c r="J315" s="30">
        <f t="array" ref="J315">IFERROR(MATCH(0,COUNTIF($I$217:I314,TablePays[Country_Names])+IF($H$218:$H$423=0,1,0),0),"")</f>
        <v>99</v>
      </c>
    </row>
    <row r="316" spans="2:10" x14ac:dyDescent="0.2">
      <c r="B316" s="475" t="s">
        <v>606</v>
      </c>
      <c r="C316" s="475">
        <v>99</v>
      </c>
      <c r="D316" s="475" t="s">
        <v>476</v>
      </c>
      <c r="F316" s="111"/>
      <c r="H316" s="475">
        <f>IF(ISNUMBER(SEARCH(HOME_Country,TablePays[[#This Row],[Country_Names]])),1,0)</f>
        <v>1</v>
      </c>
      <c r="I316" s="30" t="str">
        <f>IF(J316&lt;&gt;"",INDEX(TablePays[Country_Names],J316),"")</f>
        <v>Lebanon</v>
      </c>
      <c r="J316" s="30">
        <f t="array" ref="J316">IFERROR(MATCH(0,COUNTIF($I$217:I315,TablePays[Country_Names])+IF($H$218:$H$423=0,1,0),0),"")</f>
        <v>100</v>
      </c>
    </row>
    <row r="317" spans="2:10" x14ac:dyDescent="0.2">
      <c r="B317" s="475" t="s">
        <v>585</v>
      </c>
      <c r="C317" s="475">
        <v>99</v>
      </c>
      <c r="D317" s="475" t="s">
        <v>571</v>
      </c>
      <c r="F317" s="111"/>
      <c r="H317" s="475">
        <f>IF(ISNUMBER(SEARCH(HOME_Country,TablePays[[#This Row],[Country_Names]])),1,0)</f>
        <v>1</v>
      </c>
      <c r="I317" s="30" t="str">
        <f>IF(J317&lt;&gt;"",INDEX(TablePays[Country_Names],J317),"")</f>
        <v>Lesotho</v>
      </c>
      <c r="J317" s="30">
        <f t="array" ref="J317">IFERROR(MATCH(0,COUNTIF($I$217:I316,TablePays[Country_Names])+IF($H$218:$H$423=0,1,0),0),"")</f>
        <v>101</v>
      </c>
    </row>
    <row r="318" spans="2:10" x14ac:dyDescent="0.2">
      <c r="B318" s="475" t="s">
        <v>548</v>
      </c>
      <c r="C318" s="475">
        <v>99</v>
      </c>
      <c r="D318" s="475" t="s">
        <v>529</v>
      </c>
      <c r="F318" s="111"/>
      <c r="H318" s="475">
        <f>IF(ISNUMBER(SEARCH(HOME_Country,TablePays[[#This Row],[Country_Names]])),1,0)</f>
        <v>1</v>
      </c>
      <c r="I318" s="30" t="str">
        <f>IF(J318&lt;&gt;"",INDEX(TablePays[Country_Names],J318),"")</f>
        <v>Liberia</v>
      </c>
      <c r="J318" s="30">
        <f t="array" ref="J318">IFERROR(MATCH(0,COUNTIF($I$217:I317,TablePays[Country_Names])+IF($H$218:$H$423=0,1,0),0),"")</f>
        <v>102</v>
      </c>
    </row>
    <row r="319" spans="2:10" x14ac:dyDescent="0.2">
      <c r="B319" s="475" t="s">
        <v>549</v>
      </c>
      <c r="C319" s="475">
        <v>99</v>
      </c>
      <c r="D319" s="475" t="s">
        <v>529</v>
      </c>
      <c r="F319" s="111"/>
      <c r="H319" s="475">
        <f>IF(ISNUMBER(SEARCH(HOME_Country,TablePays[[#This Row],[Country_Names]])),1,0)</f>
        <v>1</v>
      </c>
      <c r="I319" s="30" t="str">
        <f>IF(J319&lt;&gt;"",INDEX(TablePays[Country_Names],J319),"")</f>
        <v>Libya</v>
      </c>
      <c r="J319" s="30">
        <f t="array" ref="J319">IFERROR(MATCH(0,COUNTIF($I$217:I318,TablePays[Country_Names])+IF($H$218:$H$423=0,1,0),0),"")</f>
        <v>103</v>
      </c>
    </row>
    <row r="320" spans="2:10" x14ac:dyDescent="0.2">
      <c r="B320" s="475" t="s">
        <v>550</v>
      </c>
      <c r="C320" s="475">
        <v>99</v>
      </c>
      <c r="D320" s="475" t="s">
        <v>529</v>
      </c>
      <c r="F320" s="111"/>
      <c r="H320" s="475">
        <f>IF(ISNUMBER(SEARCH(HOME_Country,TablePays[[#This Row],[Country_Names]])),1,0)</f>
        <v>1</v>
      </c>
      <c r="I320" s="30" t="str">
        <f>IF(J320&lt;&gt;"",INDEX(TablePays[Country_Names],J320),"")</f>
        <v>Liechtenstein</v>
      </c>
      <c r="J320" s="30">
        <f t="array" ref="J320">IFERROR(MATCH(0,COUNTIF($I$217:I319,TablePays[Country_Names])+IF($H$218:$H$423=0,1,0),0),"")</f>
        <v>104</v>
      </c>
    </row>
    <row r="321" spans="2:10" x14ac:dyDescent="0.2">
      <c r="B321" s="475" t="s">
        <v>607</v>
      </c>
      <c r="C321" s="475">
        <v>99</v>
      </c>
      <c r="D321" s="475" t="s">
        <v>476</v>
      </c>
      <c r="F321" s="111"/>
      <c r="H321" s="475">
        <f>IF(ISNUMBER(SEARCH(HOME_Country,TablePays[[#This Row],[Country_Names]])),1,0)</f>
        <v>1</v>
      </c>
      <c r="I321" s="30" t="str">
        <f>IF(J321&lt;&gt;"",INDEX(TablePays[Country_Names],J321),"")</f>
        <v>Lithuania</v>
      </c>
      <c r="J321" s="30">
        <f t="array" ref="J321">IFERROR(MATCH(0,COUNTIF($I$217:I320,TablePays[Country_Names])+IF($H$218:$H$423=0,1,0),0),"")</f>
        <v>105</v>
      </c>
    </row>
    <row r="322" spans="2:10" x14ac:dyDescent="0.2">
      <c r="B322" s="475" t="s">
        <v>608</v>
      </c>
      <c r="C322" s="475">
        <v>99</v>
      </c>
      <c r="D322" s="475" t="s">
        <v>476</v>
      </c>
      <c r="F322" s="111"/>
      <c r="H322" s="475">
        <f>IF(ISNUMBER(SEARCH(HOME_Country,TablePays[[#This Row],[Country_Names]])),1,0)</f>
        <v>1</v>
      </c>
      <c r="I322" s="30" t="str">
        <f>IF(J322&lt;&gt;"",INDEX(TablePays[Country_Names],J322),"")</f>
        <v>Luxembourg</v>
      </c>
      <c r="J322" s="30">
        <f t="array" ref="J322">IFERROR(MATCH(0,COUNTIF($I$217:I321,TablePays[Country_Names])+IF($H$218:$H$423=0,1,0),0),"")</f>
        <v>106</v>
      </c>
    </row>
    <row r="323" spans="2:10" x14ac:dyDescent="0.2">
      <c r="B323" s="475" t="s">
        <v>609</v>
      </c>
      <c r="C323" s="475">
        <v>99</v>
      </c>
      <c r="D323" s="475" t="s">
        <v>476</v>
      </c>
      <c r="F323" s="111"/>
      <c r="H323" s="475">
        <f>IF(ISNUMBER(SEARCH(HOME_Country,TablePays[[#This Row],[Country_Names]])),1,0)</f>
        <v>1</v>
      </c>
      <c r="I323" s="30" t="str">
        <f>IF(J323&lt;&gt;"",INDEX(TablePays[Country_Names],J323),"")</f>
        <v>Macedonia</v>
      </c>
      <c r="J323" s="30">
        <f t="array" ref="J323">IFERROR(MATCH(0,COUNTIF($I$217:I322,TablePays[Country_Names])+IF($H$218:$H$423=0,1,0),0),"")</f>
        <v>107</v>
      </c>
    </row>
    <row r="324" spans="2:10" x14ac:dyDescent="0.2">
      <c r="B324" s="475" t="s">
        <v>610</v>
      </c>
      <c r="C324" s="475">
        <v>99</v>
      </c>
      <c r="D324" s="475" t="s">
        <v>476</v>
      </c>
      <c r="F324" s="111"/>
      <c r="H324" s="475">
        <f>IF(ISNUMBER(SEARCH(HOME_Country,TablePays[[#This Row],[Country_Names]])),1,0)</f>
        <v>1</v>
      </c>
      <c r="I324" s="30" t="str">
        <f>IF(J324&lt;&gt;"",INDEX(TablePays[Country_Names],J324),"")</f>
        <v>Madagascar</v>
      </c>
      <c r="J324" s="30">
        <f t="array" ref="J324">IFERROR(MATCH(0,COUNTIF($I$217:I323,TablePays[Country_Names])+IF($H$218:$H$423=0,1,0),0),"")</f>
        <v>108</v>
      </c>
    </row>
    <row r="325" spans="2:10" x14ac:dyDescent="0.2">
      <c r="B325" s="475" t="s">
        <v>551</v>
      </c>
      <c r="C325" s="475">
        <v>99</v>
      </c>
      <c r="D325" s="475" t="s">
        <v>529</v>
      </c>
      <c r="F325" s="111"/>
      <c r="H325" s="475">
        <f>IF(ISNUMBER(SEARCH(HOME_Country,TablePays[[#This Row],[Country_Names]])),1,0)</f>
        <v>1</v>
      </c>
      <c r="I325" s="30" t="str">
        <f>IF(J325&lt;&gt;"",INDEX(TablePays[Country_Names],J325),"")</f>
        <v>Malawi</v>
      </c>
      <c r="J325" s="30">
        <f t="array" ref="J325">IFERROR(MATCH(0,COUNTIF($I$217:I324,TablePays[Country_Names])+IF($H$218:$H$423=0,1,0),0),"")</f>
        <v>109</v>
      </c>
    </row>
    <row r="326" spans="2:10" x14ac:dyDescent="0.2">
      <c r="B326" s="475" t="s">
        <v>552</v>
      </c>
      <c r="C326" s="475">
        <v>99</v>
      </c>
      <c r="D326" s="475" t="s">
        <v>529</v>
      </c>
      <c r="F326" s="111"/>
      <c r="H326" s="475">
        <f>IF(ISNUMBER(SEARCH(HOME_Country,TablePays[[#This Row],[Country_Names]])),1,0)</f>
        <v>1</v>
      </c>
      <c r="I326" s="30" t="str">
        <f>IF(J326&lt;&gt;"",INDEX(TablePays[Country_Names],J326),"")</f>
        <v>Malaysia</v>
      </c>
      <c r="J326" s="30">
        <f t="array" ref="J326">IFERROR(MATCH(0,COUNTIF($I$217:I325,TablePays[Country_Names])+IF($H$218:$H$423=0,1,0),0),"")</f>
        <v>110</v>
      </c>
    </row>
    <row r="327" spans="2:10" x14ac:dyDescent="0.2">
      <c r="B327" s="111" t="s">
        <v>288</v>
      </c>
      <c r="C327" s="111">
        <v>15</v>
      </c>
      <c r="D327" s="475" t="s">
        <v>571</v>
      </c>
      <c r="E327" s="30">
        <v>1</v>
      </c>
      <c r="F327" s="111" t="s">
        <v>727</v>
      </c>
      <c r="H327" s="475">
        <f>IF(ISNUMBER(SEARCH(HOME_Country,TablePays[[#This Row],[Country_Names]])),1,0)</f>
        <v>1</v>
      </c>
      <c r="I327" s="30" t="str">
        <f>IF(J327&lt;&gt;"",INDEX(TablePays[Country_Names],J327),"")</f>
        <v>Maldives</v>
      </c>
      <c r="J327" s="30">
        <f t="array" ref="J327">IFERROR(MATCH(0,COUNTIF($I$217:I326,TablePays[Country_Names])+IF($H$218:$H$423=0,1,0),0),"")</f>
        <v>111</v>
      </c>
    </row>
    <row r="328" spans="2:10" x14ac:dyDescent="0.2">
      <c r="B328" s="475" t="s">
        <v>586</v>
      </c>
      <c r="C328" s="475">
        <v>99</v>
      </c>
      <c r="D328" s="475" t="s">
        <v>571</v>
      </c>
      <c r="F328" s="111"/>
      <c r="H328" s="475">
        <f>IF(ISNUMBER(SEARCH(HOME_Country,TablePays[[#This Row],[Country_Names]])),1,0)</f>
        <v>1</v>
      </c>
      <c r="I328" s="30" t="str">
        <f>IF(J328&lt;&gt;"",INDEX(TablePays[Country_Names],J328),"")</f>
        <v>Mali</v>
      </c>
      <c r="J328" s="30">
        <f t="array" ref="J328">IFERROR(MATCH(0,COUNTIF($I$217:I327,TablePays[Country_Names])+IF($H$218:$H$423=0,1,0),0),"")</f>
        <v>112</v>
      </c>
    </row>
    <row r="329" spans="2:10" x14ac:dyDescent="0.2">
      <c r="B329" s="475" t="s">
        <v>553</v>
      </c>
      <c r="C329" s="475">
        <v>99</v>
      </c>
      <c r="D329" s="475" t="s">
        <v>529</v>
      </c>
      <c r="F329" s="111"/>
      <c r="H329" s="475">
        <f>IF(ISNUMBER(SEARCH(HOME_Country,TablePays[[#This Row],[Country_Names]])),1,0)</f>
        <v>1</v>
      </c>
      <c r="I329" s="30" t="str">
        <f>IF(J329&lt;&gt;"",INDEX(TablePays[Country_Names],J329),"")</f>
        <v>Malta</v>
      </c>
      <c r="J329" s="30">
        <f t="array" ref="J329">IFERROR(MATCH(0,COUNTIF($I$217:I328,TablePays[Country_Names])+IF($H$218:$H$423=0,1,0),0),"")</f>
        <v>113</v>
      </c>
    </row>
    <row r="330" spans="2:10" x14ac:dyDescent="0.2">
      <c r="B330" s="475" t="s">
        <v>611</v>
      </c>
      <c r="C330" s="475">
        <v>99</v>
      </c>
      <c r="D330" s="475" t="s">
        <v>476</v>
      </c>
      <c r="F330" s="111"/>
      <c r="H330" s="475">
        <f>IF(ISNUMBER(SEARCH(HOME_Country,TablePays[[#This Row],[Country_Names]])),1,0)</f>
        <v>1</v>
      </c>
      <c r="I330" s="30" t="str">
        <f>IF(J330&lt;&gt;"",INDEX(TablePays[Country_Names],J330),"")</f>
        <v>Marshall Islands</v>
      </c>
      <c r="J330" s="30">
        <f t="array" ref="J330">IFERROR(MATCH(0,COUNTIF($I$217:I329,TablePays[Country_Names])+IF($H$218:$H$423=0,1,0),0),"")</f>
        <v>114</v>
      </c>
    </row>
    <row r="331" spans="2:10" x14ac:dyDescent="0.2">
      <c r="B331" s="475" t="s">
        <v>672</v>
      </c>
      <c r="C331" s="475">
        <v>99</v>
      </c>
      <c r="D331" s="475" t="s">
        <v>630</v>
      </c>
      <c r="F331" s="111"/>
      <c r="H331" s="475">
        <f>IF(ISNUMBER(SEARCH(HOME_Country,TablePays[[#This Row],[Country_Names]])),1,0)</f>
        <v>1</v>
      </c>
      <c r="I331" s="30" t="str">
        <f>IF(J331&lt;&gt;"",INDEX(TablePays[Country_Names],J331),"")</f>
        <v>Mauritania</v>
      </c>
      <c r="J331" s="30">
        <f t="array" ref="J331">IFERROR(MATCH(0,COUNTIF($I$217:I330,TablePays[Country_Names])+IF($H$218:$H$423=0,1,0),0),"")</f>
        <v>115</v>
      </c>
    </row>
    <row r="332" spans="2:10" x14ac:dyDescent="0.2">
      <c r="B332" s="475" t="s">
        <v>554</v>
      </c>
      <c r="C332" s="475">
        <v>99</v>
      </c>
      <c r="D332" s="475" t="s">
        <v>529</v>
      </c>
      <c r="F332" s="111"/>
      <c r="H332" s="475">
        <f>IF(ISNUMBER(SEARCH(HOME_Country,TablePays[[#This Row],[Country_Names]])),1,0)</f>
        <v>1</v>
      </c>
      <c r="I332" s="30" t="str">
        <f>IF(J332&lt;&gt;"",INDEX(TablePays[Country_Names],J332),"")</f>
        <v>Mauritius</v>
      </c>
      <c r="J332" s="30">
        <f t="array" ref="J332">IFERROR(MATCH(0,COUNTIF($I$217:I331,TablePays[Country_Names])+IF($H$218:$H$423=0,1,0),0),"")</f>
        <v>116</v>
      </c>
    </row>
    <row r="333" spans="2:10" x14ac:dyDescent="0.2">
      <c r="B333" s="475" t="s">
        <v>555</v>
      </c>
      <c r="C333" s="475">
        <v>99</v>
      </c>
      <c r="D333" s="475" t="s">
        <v>529</v>
      </c>
      <c r="F333" s="111"/>
      <c r="H333" s="475">
        <f>IF(ISNUMBER(SEARCH(HOME_Country,TablePays[[#This Row],[Country_Names]])),1,0)</f>
        <v>1</v>
      </c>
      <c r="I333" s="30" t="str">
        <f>IF(J333&lt;&gt;"",INDEX(TablePays[Country_Names],J333),"")</f>
        <v>Mexico</v>
      </c>
      <c r="J333" s="30">
        <f t="array" ref="J333">IFERROR(MATCH(0,COUNTIF($I$217:I332,TablePays[Country_Names])+IF($H$218:$H$423=0,1,0),0),"")</f>
        <v>117</v>
      </c>
    </row>
    <row r="334" spans="2:10" x14ac:dyDescent="0.2">
      <c r="B334" s="111" t="s">
        <v>431</v>
      </c>
      <c r="C334" s="111">
        <v>4</v>
      </c>
      <c r="D334" s="475" t="s">
        <v>664</v>
      </c>
      <c r="E334" s="30">
        <v>1</v>
      </c>
      <c r="F334" s="111" t="s">
        <v>739</v>
      </c>
      <c r="H334" s="475">
        <f>IF(ISNUMBER(SEARCH(HOME_Country,TablePays[[#This Row],[Country_Names]])),1,0)</f>
        <v>1</v>
      </c>
      <c r="I334" s="30" t="str">
        <f>IF(J334&lt;&gt;"",INDEX(TablePays[Country_Names],J334),"")</f>
        <v>Micronesia</v>
      </c>
      <c r="J334" s="30">
        <f t="array" ref="J334">IFERROR(MATCH(0,COUNTIF($I$217:I333,TablePays[Country_Names])+IF($H$218:$H$423=0,1,0),0),"")</f>
        <v>118</v>
      </c>
    </row>
    <row r="335" spans="2:10" x14ac:dyDescent="0.2">
      <c r="B335" s="475" t="s">
        <v>633</v>
      </c>
      <c r="C335" s="475">
        <v>99</v>
      </c>
      <c r="D335" s="475" t="s">
        <v>630</v>
      </c>
      <c r="F335" s="111"/>
      <c r="H335" s="475">
        <f>IF(ISNUMBER(SEARCH(HOME_Country,TablePays[[#This Row],[Country_Names]])),1,0)</f>
        <v>1</v>
      </c>
      <c r="I335" s="30" t="str">
        <f>IF(J335&lt;&gt;"",INDEX(TablePays[Country_Names],J335),"")</f>
        <v>Moldova</v>
      </c>
      <c r="J335" s="30">
        <f t="array" ref="J335">IFERROR(MATCH(0,COUNTIF($I$217:I334,TablePays[Country_Names])+IF($H$218:$H$423=0,1,0),0),"")</f>
        <v>119</v>
      </c>
    </row>
    <row r="336" spans="2:10" x14ac:dyDescent="0.2">
      <c r="B336" s="475" t="s">
        <v>612</v>
      </c>
      <c r="C336" s="475">
        <v>99</v>
      </c>
      <c r="D336" s="475" t="s">
        <v>476</v>
      </c>
      <c r="F336" s="111"/>
      <c r="H336" s="475">
        <f>IF(ISNUMBER(SEARCH(HOME_Country,TablePays[[#This Row],[Country_Names]])),1,0)</f>
        <v>1</v>
      </c>
      <c r="I336" s="30" t="str">
        <f>IF(J336&lt;&gt;"",INDEX(TablePays[Country_Names],J336),"")</f>
        <v>Monaco</v>
      </c>
      <c r="J336" s="30">
        <f t="array" ref="J336">IFERROR(MATCH(0,COUNTIF($I$217:I335,TablePays[Country_Names])+IF($H$218:$H$423=0,1,0),0),"")</f>
        <v>120</v>
      </c>
    </row>
    <row r="337" spans="2:10" x14ac:dyDescent="0.2">
      <c r="B337" s="475" t="s">
        <v>613</v>
      </c>
      <c r="C337" s="475">
        <v>99</v>
      </c>
      <c r="D337" s="475" t="s">
        <v>476</v>
      </c>
      <c r="F337" s="111"/>
      <c r="H337" s="475">
        <f>IF(ISNUMBER(SEARCH(HOME_Country,TablePays[[#This Row],[Country_Names]])),1,0)</f>
        <v>1</v>
      </c>
      <c r="I337" s="30" t="str">
        <f>IF(J337&lt;&gt;"",INDEX(TablePays[Country_Names],J337),"")</f>
        <v>Mongolia</v>
      </c>
      <c r="J337" s="30">
        <f t="array" ref="J337">IFERROR(MATCH(0,COUNTIF($I$217:I336,TablePays[Country_Names])+IF($H$218:$H$423=0,1,0),0),"")</f>
        <v>121</v>
      </c>
    </row>
    <row r="338" spans="2:10" x14ac:dyDescent="0.2">
      <c r="B338" s="475" t="s">
        <v>587</v>
      </c>
      <c r="C338" s="475">
        <v>99</v>
      </c>
      <c r="D338" s="475" t="s">
        <v>571</v>
      </c>
      <c r="F338" s="111"/>
      <c r="H338" s="475">
        <f>IF(ISNUMBER(SEARCH(HOME_Country,TablePays[[#This Row],[Country_Names]])),1,0)</f>
        <v>1</v>
      </c>
      <c r="I338" s="30" t="str">
        <f>IF(J338&lt;&gt;"",INDEX(TablePays[Country_Names],J338),"")</f>
        <v>Montenegro</v>
      </c>
      <c r="J338" s="30">
        <f t="array" ref="J338">IFERROR(MATCH(0,COUNTIF($I$217:I337,TablePays[Country_Names])+IF($H$218:$H$423=0,1,0),0),"")</f>
        <v>122</v>
      </c>
    </row>
    <row r="339" spans="2:10" x14ac:dyDescent="0.2">
      <c r="B339" s="475" t="s">
        <v>614</v>
      </c>
      <c r="C339" s="475">
        <v>99</v>
      </c>
      <c r="D339" s="475" t="s">
        <v>476</v>
      </c>
      <c r="F339" s="111"/>
      <c r="H339" s="475">
        <f>IF(ISNUMBER(SEARCH(HOME_Country,TablePays[[#This Row],[Country_Names]])),1,0)</f>
        <v>1</v>
      </c>
      <c r="I339" s="30" t="str">
        <f>IF(J339&lt;&gt;"",INDEX(TablePays[Country_Names],J339),"")</f>
        <v>Morocco</v>
      </c>
      <c r="J339" s="30">
        <f t="array" ref="J339">IFERROR(MATCH(0,COUNTIF($I$217:I338,TablePays[Country_Names])+IF($H$218:$H$423=0,1,0),0),"")</f>
        <v>123</v>
      </c>
    </row>
    <row r="340" spans="2:10" x14ac:dyDescent="0.2">
      <c r="B340" s="475" t="s">
        <v>522</v>
      </c>
      <c r="C340" s="475">
        <v>21</v>
      </c>
      <c r="D340" s="475" t="s">
        <v>529</v>
      </c>
      <c r="E340" s="30">
        <v>1</v>
      </c>
      <c r="F340" s="111" t="s">
        <v>721</v>
      </c>
      <c r="H340" s="475">
        <f>IF(ISNUMBER(SEARCH(HOME_Country,TablePays[[#This Row],[Country_Names]])),1,0)</f>
        <v>1</v>
      </c>
      <c r="I340" s="30" t="str">
        <f>IF(J340&lt;&gt;"",INDEX(TablePays[Country_Names],J340),"")</f>
        <v>Mozambique</v>
      </c>
      <c r="J340" s="30">
        <f t="array" ref="J340">IFERROR(MATCH(0,COUNTIF($I$217:I339,TablePays[Country_Names])+IF($H$218:$H$423=0,1,0),0),"")</f>
        <v>124</v>
      </c>
    </row>
    <row r="341" spans="2:10" x14ac:dyDescent="0.2">
      <c r="B341" s="475" t="s">
        <v>556</v>
      </c>
      <c r="C341" s="475">
        <v>99</v>
      </c>
      <c r="D341" s="475" t="s">
        <v>529</v>
      </c>
      <c r="F341" s="111"/>
      <c r="H341" s="475">
        <f>IF(ISNUMBER(SEARCH(HOME_Country,TablePays[[#This Row],[Country_Names]])),1,0)</f>
        <v>1</v>
      </c>
      <c r="I341" s="30" t="str">
        <f>IF(J341&lt;&gt;"",INDEX(TablePays[Country_Names],J341),"")</f>
        <v>Namibia</v>
      </c>
      <c r="J341" s="30">
        <f t="array" ref="J341">IFERROR(MATCH(0,COUNTIF($I$217:I340,TablePays[Country_Names])+IF($H$218:$H$423=0,1,0),0),"")</f>
        <v>125</v>
      </c>
    </row>
    <row r="342" spans="2:10" x14ac:dyDescent="0.2">
      <c r="B342" s="475" t="s">
        <v>557</v>
      </c>
      <c r="C342" s="475">
        <v>99</v>
      </c>
      <c r="D342" s="475" t="s">
        <v>529</v>
      </c>
      <c r="F342" s="111"/>
      <c r="H342" s="475">
        <f>IF(ISNUMBER(SEARCH(HOME_Country,TablePays[[#This Row],[Country_Names]])),1,0)</f>
        <v>1</v>
      </c>
      <c r="I342" s="30" t="str">
        <f>IF(J342&lt;&gt;"",INDEX(TablePays[Country_Names],J342),"")</f>
        <v>Nauru</v>
      </c>
      <c r="J342" s="30">
        <f t="array" ref="J342">IFERROR(MATCH(0,COUNTIF($I$217:I341,TablePays[Country_Names])+IF($H$218:$H$423=0,1,0),0),"")</f>
        <v>126</v>
      </c>
    </row>
    <row r="343" spans="2:10" x14ac:dyDescent="0.2">
      <c r="B343" s="475" t="s">
        <v>634</v>
      </c>
      <c r="C343" s="475">
        <v>99</v>
      </c>
      <c r="D343" s="475" t="s">
        <v>630</v>
      </c>
      <c r="F343" s="111"/>
      <c r="H343" s="475">
        <f>IF(ISNUMBER(SEARCH(HOME_Country,TablePays[[#This Row],[Country_Names]])),1,0)</f>
        <v>1</v>
      </c>
      <c r="I343" s="30" t="str">
        <f>IF(J343&lt;&gt;"",INDEX(TablePays[Country_Names],J343),"")</f>
        <v>Nepal</v>
      </c>
      <c r="J343" s="30">
        <f t="array" ref="J343">IFERROR(MATCH(0,COUNTIF($I$217:I342,TablePays[Country_Names])+IF($H$218:$H$423=0,1,0),0),"")</f>
        <v>127</v>
      </c>
    </row>
    <row r="344" spans="2:10" x14ac:dyDescent="0.2">
      <c r="B344" s="475" t="s">
        <v>588</v>
      </c>
      <c r="C344" s="475">
        <v>99</v>
      </c>
      <c r="D344" s="475" t="s">
        <v>571</v>
      </c>
      <c r="F344" s="111"/>
      <c r="H344" s="475">
        <f>IF(ISNUMBER(SEARCH(HOME_Country,TablePays[[#This Row],[Country_Names]])),1,0)</f>
        <v>1</v>
      </c>
      <c r="I344" s="30" t="str">
        <f>IF(J344&lt;&gt;"",INDEX(TablePays[Country_Names],J344),"")</f>
        <v>Netherlands</v>
      </c>
      <c r="J344" s="30">
        <f t="array" ref="J344">IFERROR(MATCH(0,COUNTIF($I$217:I343,TablePays[Country_Names])+IF($H$218:$H$423=0,1,0),0),"")</f>
        <v>128</v>
      </c>
    </row>
    <row r="345" spans="2:10" x14ac:dyDescent="0.2">
      <c r="B345" s="111" t="s">
        <v>435</v>
      </c>
      <c r="C345" s="111">
        <f>7-1</f>
        <v>6</v>
      </c>
      <c r="D345" s="475" t="s">
        <v>476</v>
      </c>
      <c r="E345" s="30">
        <v>1</v>
      </c>
      <c r="F345" s="111" t="s">
        <v>731</v>
      </c>
      <c r="H345" s="475">
        <f>IF(ISNUMBER(SEARCH(HOME_Country,TablePays[[#This Row],[Country_Names]])),1,0)</f>
        <v>1</v>
      </c>
      <c r="I345" s="30" t="str">
        <f>IF(J345&lt;&gt;"",INDEX(TablePays[Country_Names],J345),"")</f>
        <v>New Zealand</v>
      </c>
      <c r="J345" s="30">
        <f t="array" ref="J345">IFERROR(MATCH(0,COUNTIF($I$217:I344,TablePays[Country_Names])+IF($H$218:$H$423=0,1,0),0),"")</f>
        <v>129</v>
      </c>
    </row>
    <row r="346" spans="2:10" x14ac:dyDescent="0.2">
      <c r="B346" s="111" t="s">
        <v>453</v>
      </c>
      <c r="C346" s="111">
        <v>16</v>
      </c>
      <c r="D346" s="475" t="s">
        <v>630</v>
      </c>
      <c r="E346" s="30">
        <v>1</v>
      </c>
      <c r="F346" s="111" t="s">
        <v>729</v>
      </c>
      <c r="H346" s="475">
        <f>IF(ISNUMBER(SEARCH(HOME_Country,TablePays[[#This Row],[Country_Names]])),1,0)</f>
        <v>1</v>
      </c>
      <c r="I346" s="30" t="str">
        <f>IF(J346&lt;&gt;"",INDEX(TablePays[Country_Names],J346),"")</f>
        <v>Nicaragua</v>
      </c>
      <c r="J346" s="30">
        <f t="array" ref="J346">IFERROR(MATCH(0,COUNTIF($I$217:I345,TablePays[Country_Names])+IF($H$218:$H$423=0,1,0),0),"")</f>
        <v>130</v>
      </c>
    </row>
    <row r="347" spans="2:10" x14ac:dyDescent="0.2">
      <c r="B347" s="475" t="s">
        <v>628</v>
      </c>
      <c r="C347" s="475">
        <v>99</v>
      </c>
      <c r="D347" s="475" t="s">
        <v>664</v>
      </c>
      <c r="F347" s="111"/>
      <c r="H347" s="475">
        <f>IF(ISNUMBER(SEARCH(HOME_Country,TablePays[[#This Row],[Country_Names]])),1,0)</f>
        <v>1</v>
      </c>
      <c r="I347" s="30" t="str">
        <f>IF(J347&lt;&gt;"",INDEX(TablePays[Country_Names],J347),"")</f>
        <v>Niger</v>
      </c>
      <c r="J347" s="30">
        <f t="array" ref="J347">IFERROR(MATCH(0,COUNTIF($I$217:I346,TablePays[Country_Names])+IF($H$218:$H$423=0,1,0),0),"")</f>
        <v>131</v>
      </c>
    </row>
    <row r="348" spans="2:10" x14ac:dyDescent="0.2">
      <c r="B348" s="475" t="s">
        <v>558</v>
      </c>
      <c r="C348" s="475">
        <v>99</v>
      </c>
      <c r="D348" s="475" t="s">
        <v>529</v>
      </c>
      <c r="F348" s="111"/>
      <c r="H348" s="475">
        <f>IF(ISNUMBER(SEARCH(HOME_Country,TablePays[[#This Row],[Country_Names]])),1,0)</f>
        <v>1</v>
      </c>
      <c r="I348" s="30" t="str">
        <f>IF(J348&lt;&gt;"",INDEX(TablePays[Country_Names],J348),"")</f>
        <v>Nigeria</v>
      </c>
      <c r="J348" s="30">
        <f t="array" ref="J348">IFERROR(MATCH(0,COUNTIF($I$217:I347,TablePays[Country_Names])+IF($H$218:$H$423=0,1,0),0),"")</f>
        <v>132</v>
      </c>
    </row>
    <row r="349" spans="2:10" x14ac:dyDescent="0.2">
      <c r="B349" s="475" t="s">
        <v>527</v>
      </c>
      <c r="C349" s="475">
        <v>21</v>
      </c>
      <c r="D349" s="475" t="s">
        <v>529</v>
      </c>
      <c r="E349" s="30">
        <v>1</v>
      </c>
      <c r="F349" s="111" t="s">
        <v>723</v>
      </c>
      <c r="H349" s="475">
        <f>IF(ISNUMBER(SEARCH(HOME_Country,TablePays[[#This Row],[Country_Names]])),1,0)</f>
        <v>1</v>
      </c>
      <c r="I349" s="30" t="str">
        <f>IF(J349&lt;&gt;"",INDEX(TablePays[Country_Names],J349),"")</f>
        <v>Norway</v>
      </c>
      <c r="J349" s="30">
        <f t="array" ref="J349">IFERROR(MATCH(0,COUNTIF($I$217:I348,TablePays[Country_Names])+IF($H$218:$H$423=0,1,0),0),"")</f>
        <v>133</v>
      </c>
    </row>
    <row r="350" spans="2:10" x14ac:dyDescent="0.2">
      <c r="B350" s="111" t="s">
        <v>442</v>
      </c>
      <c r="C350" s="111">
        <f>9-3</f>
        <v>6</v>
      </c>
      <c r="D350" s="475" t="s">
        <v>476</v>
      </c>
      <c r="E350" s="30">
        <v>1</v>
      </c>
      <c r="F350" s="111" t="s">
        <v>733</v>
      </c>
      <c r="H350" s="475">
        <f>IF(ISNUMBER(SEARCH(HOME_Country,TablePays[[#This Row],[Country_Names]])),1,0)</f>
        <v>1</v>
      </c>
      <c r="I350" s="30" t="str">
        <f>IF(J350&lt;&gt;"",INDEX(TablePays[Country_Names],J350),"")</f>
        <v>Oman</v>
      </c>
      <c r="J350" s="30">
        <f t="array" ref="J350">IFERROR(MATCH(0,COUNTIF($I$217:I349,TablePays[Country_Names])+IF($H$218:$H$423=0,1,0),0),"")</f>
        <v>134</v>
      </c>
    </row>
    <row r="351" spans="2:10" x14ac:dyDescent="0.2">
      <c r="B351" s="475" t="s">
        <v>589</v>
      </c>
      <c r="C351" s="475">
        <v>99</v>
      </c>
      <c r="D351" s="475" t="s">
        <v>571</v>
      </c>
      <c r="F351" s="111"/>
      <c r="H351" s="475">
        <f>IF(ISNUMBER(SEARCH(HOME_Country,TablePays[[#This Row],[Country_Names]])),1,0)</f>
        <v>1</v>
      </c>
      <c r="I351" s="30" t="str">
        <f>IF(J351&lt;&gt;"",INDEX(TablePays[Country_Names],J351),"")</f>
        <v>Other (Not listed here)</v>
      </c>
      <c r="J351" s="30">
        <f t="array" ref="J351">IFERROR(MATCH(0,COUNTIF($I$217:I350,TablePays[Country_Names])+IF($H$218:$H$423=0,1,0),0),"")</f>
        <v>135</v>
      </c>
    </row>
    <row r="352" spans="2:10" x14ac:dyDescent="0.2">
      <c r="B352" s="111" t="s">
        <v>463</v>
      </c>
      <c r="C352" s="475">
        <v>99</v>
      </c>
      <c r="D352" s="475" t="s">
        <v>676</v>
      </c>
      <c r="E352" s="30">
        <v>1</v>
      </c>
      <c r="F352" s="111"/>
      <c r="H352" s="475">
        <f>IF(ISNUMBER(SEARCH(HOME_Country,TablePays[[#This Row],[Country_Names]])),1,0)</f>
        <v>1</v>
      </c>
      <c r="I352" s="30" t="str">
        <f>IF(J352&lt;&gt;"",INDEX(TablePays[Country_Names],J352),"")</f>
        <v>Pakistan</v>
      </c>
      <c r="J352" s="30">
        <f t="array" ref="J352">IFERROR(MATCH(0,COUNTIF($I$217:I351,TablePays[Country_Names])+IF($H$218:$H$423=0,1,0),0),"")</f>
        <v>136</v>
      </c>
    </row>
    <row r="353" spans="2:10" x14ac:dyDescent="0.2">
      <c r="B353" s="111" t="s">
        <v>460</v>
      </c>
      <c r="C353" s="111">
        <v>20</v>
      </c>
      <c r="D353" s="475" t="s">
        <v>571</v>
      </c>
      <c r="E353" s="30">
        <v>1</v>
      </c>
      <c r="F353" s="111" t="s">
        <v>726</v>
      </c>
      <c r="H353" s="475">
        <f>IF(ISNUMBER(SEARCH(HOME_Country,TablePays[[#This Row],[Country_Names]])),1,0)</f>
        <v>1</v>
      </c>
      <c r="I353" s="30" t="str">
        <f>IF(J353&lt;&gt;"",INDEX(TablePays[Country_Names],J353),"")</f>
        <v>Palau</v>
      </c>
      <c r="J353" s="30">
        <f t="array" ref="J353">IFERROR(MATCH(0,COUNTIF($I$217:I352,TablePays[Country_Names])+IF($H$218:$H$423=0,1,0),0),"")</f>
        <v>137</v>
      </c>
    </row>
    <row r="354" spans="2:10" x14ac:dyDescent="0.2">
      <c r="B354" s="475" t="s">
        <v>635</v>
      </c>
      <c r="C354" s="475">
        <v>99</v>
      </c>
      <c r="D354" s="475" t="s">
        <v>630</v>
      </c>
      <c r="F354" s="111"/>
      <c r="H354" s="475">
        <f>IF(ISNUMBER(SEARCH(HOME_Country,TablePays[[#This Row],[Country_Names]])),1,0)</f>
        <v>1</v>
      </c>
      <c r="I354" s="30" t="str">
        <f>IF(J354&lt;&gt;"",INDEX(TablePays[Country_Names],J354),"")</f>
        <v>Panama</v>
      </c>
      <c r="J354" s="30">
        <f t="array" ref="J354">IFERROR(MATCH(0,COUNTIF($I$217:I353,TablePays[Country_Names])+IF($H$218:$H$423=0,1,0),0),"")</f>
        <v>138</v>
      </c>
    </row>
    <row r="355" spans="2:10" x14ac:dyDescent="0.2">
      <c r="B355" s="475" t="s">
        <v>629</v>
      </c>
      <c r="C355" s="475">
        <v>99</v>
      </c>
      <c r="D355" s="475" t="s">
        <v>664</v>
      </c>
      <c r="F355" s="111"/>
      <c r="H355" s="475">
        <f>IF(ISNUMBER(SEARCH(HOME_Country,TablePays[[#This Row],[Country_Names]])),1,0)</f>
        <v>1</v>
      </c>
      <c r="I355" s="30" t="str">
        <f>IF(J355&lt;&gt;"",INDEX(TablePays[Country_Names],J355),"")</f>
        <v>Papua New Guinea</v>
      </c>
      <c r="J355" s="30">
        <f t="array" ref="J355">IFERROR(MATCH(0,COUNTIF($I$217:I354,TablePays[Country_Names])+IF($H$218:$H$423=0,1,0),0),"")</f>
        <v>139</v>
      </c>
    </row>
    <row r="356" spans="2:10" x14ac:dyDescent="0.2">
      <c r="B356" s="475" t="s">
        <v>673</v>
      </c>
      <c r="C356" s="475">
        <v>99</v>
      </c>
      <c r="D356" s="475" t="s">
        <v>630</v>
      </c>
      <c r="F356" s="111"/>
      <c r="H356" s="475">
        <f>IF(ISNUMBER(SEARCH(HOME_Country,TablePays[[#This Row],[Country_Names]])),1,0)</f>
        <v>1</v>
      </c>
      <c r="I356" s="30" t="str">
        <f>IF(J356&lt;&gt;"",INDEX(TablePays[Country_Names],J356),"")</f>
        <v>Paraguay</v>
      </c>
      <c r="J356" s="30">
        <f t="array" ref="J356">IFERROR(MATCH(0,COUNTIF($I$217:I355,TablePays[Country_Names])+IF($H$218:$H$423=0,1,0),0),"")</f>
        <v>140</v>
      </c>
    </row>
    <row r="357" spans="2:10" x14ac:dyDescent="0.2">
      <c r="B357" s="475" t="s">
        <v>643</v>
      </c>
      <c r="C357" s="475">
        <v>99</v>
      </c>
      <c r="D357" s="475" t="s">
        <v>675</v>
      </c>
      <c r="F357" s="111"/>
      <c r="H357" s="475">
        <f>IF(ISNUMBER(SEARCH(HOME_Country,TablePays[[#This Row],[Country_Names]])),1,0)</f>
        <v>1</v>
      </c>
      <c r="I357" s="30" t="str">
        <f>IF(J357&lt;&gt;"",INDEX(TablePays[Country_Names],J357),"")</f>
        <v>Peru</v>
      </c>
      <c r="J357" s="30">
        <f t="array" ref="J357">IFERROR(MATCH(0,COUNTIF($I$217:I356,TablePays[Country_Names])+IF($H$218:$H$423=0,1,0),0),"")</f>
        <v>141</v>
      </c>
    </row>
    <row r="358" spans="2:10" x14ac:dyDescent="0.2">
      <c r="B358" s="111" t="s">
        <v>455</v>
      </c>
      <c r="C358" s="111">
        <v>19</v>
      </c>
      <c r="D358" s="475" t="s">
        <v>675</v>
      </c>
      <c r="E358" s="30">
        <v>1</v>
      </c>
      <c r="F358" s="111" t="s">
        <v>736</v>
      </c>
      <c r="H358" s="475">
        <f>IF(ISNUMBER(SEARCH(HOME_Country,TablePays[[#This Row],[Country_Names]])),1,0)</f>
        <v>1</v>
      </c>
      <c r="I358" s="30" t="str">
        <f>IF(J358&lt;&gt;"",INDEX(TablePays[Country_Names],J358),"")</f>
        <v>Philippines</v>
      </c>
      <c r="J358" s="30">
        <f t="array" ref="J358">IFERROR(MATCH(0,COUNTIF($I$217:I357,TablePays[Country_Names])+IF($H$218:$H$423=0,1,0),0),"")</f>
        <v>142</v>
      </c>
    </row>
    <row r="359" spans="2:10" x14ac:dyDescent="0.2">
      <c r="B359" s="111" t="s">
        <v>452</v>
      </c>
      <c r="C359" s="111">
        <v>15</v>
      </c>
      <c r="D359" s="475" t="s">
        <v>571</v>
      </c>
      <c r="E359" s="30">
        <v>1</v>
      </c>
      <c r="F359" s="111" t="s">
        <v>727</v>
      </c>
      <c r="H359" s="475">
        <f>IF(ISNUMBER(SEARCH(HOME_Country,TablePays[[#This Row],[Country_Names]])),1,0)</f>
        <v>1</v>
      </c>
      <c r="I359" s="30" t="str">
        <f>IF(J359&lt;&gt;"",INDEX(TablePays[Country_Names],J359),"")</f>
        <v>Poland</v>
      </c>
      <c r="J359" s="30">
        <f t="array" ref="J359">IFERROR(MATCH(0,COUNTIF($I$217:I358,TablePays[Country_Names])+IF($H$218:$H$423=0,1,0),0),"")</f>
        <v>143</v>
      </c>
    </row>
    <row r="360" spans="2:10" x14ac:dyDescent="0.2">
      <c r="B360" s="111" t="s">
        <v>426</v>
      </c>
      <c r="C360" s="111">
        <v>6</v>
      </c>
      <c r="D360" s="475" t="s">
        <v>476</v>
      </c>
      <c r="E360" s="30">
        <v>1</v>
      </c>
      <c r="F360" s="111" t="s">
        <v>730</v>
      </c>
      <c r="H360" s="475">
        <f>IF(ISNUMBER(SEARCH(HOME_Country,TablePays[[#This Row],[Country_Names]])),1,0)</f>
        <v>1</v>
      </c>
      <c r="I360" s="30" t="str">
        <f>IF(J360&lt;&gt;"",INDEX(TablePays[Country_Names],J360),"")</f>
        <v>Portugal</v>
      </c>
      <c r="J360" s="30">
        <f t="array" ref="J360">IFERROR(MATCH(0,COUNTIF($I$217:I359,TablePays[Country_Names])+IF($H$218:$H$423=0,1,0),0),"")</f>
        <v>144</v>
      </c>
    </row>
    <row r="361" spans="2:10" x14ac:dyDescent="0.2">
      <c r="B361" s="111" t="s">
        <v>438</v>
      </c>
      <c r="C361" s="111">
        <f>8-2</f>
        <v>6</v>
      </c>
      <c r="D361" s="475" t="s">
        <v>476</v>
      </c>
      <c r="E361" s="30">
        <v>1</v>
      </c>
      <c r="F361" s="111" t="s">
        <v>732</v>
      </c>
      <c r="H361" s="475">
        <f>IF(ISNUMBER(SEARCH(HOME_Country,TablePays[[#This Row],[Country_Names]])),1,0)</f>
        <v>1</v>
      </c>
      <c r="I361" s="30" t="str">
        <f>IF(J361&lt;&gt;"",INDEX(TablePays[Country_Names],J361),"")</f>
        <v>Qatar</v>
      </c>
      <c r="J361" s="30">
        <f t="array" ref="J361">IFERROR(MATCH(0,COUNTIF($I$217:I360,TablePays[Country_Names])+IF($H$218:$H$423=0,1,0),0),"")</f>
        <v>145</v>
      </c>
    </row>
    <row r="362" spans="2:10" x14ac:dyDescent="0.2">
      <c r="B362" s="475" t="s">
        <v>590</v>
      </c>
      <c r="C362" s="475">
        <v>99</v>
      </c>
      <c r="D362" s="475" t="s">
        <v>571</v>
      </c>
      <c r="F362" s="111"/>
      <c r="H362" s="475">
        <f>IF(ISNUMBER(SEARCH(HOME_Country,TablePays[[#This Row],[Country_Names]])),1,0)</f>
        <v>1</v>
      </c>
      <c r="I362" s="30" t="str">
        <f>IF(J362&lt;&gt;"",INDEX(TablePays[Country_Names],J362),"")</f>
        <v>Romania</v>
      </c>
      <c r="J362" s="30">
        <f t="array" ref="J362">IFERROR(MATCH(0,COUNTIF($I$217:I361,TablePays[Country_Names])+IF($H$218:$H$423=0,1,0),0),"")</f>
        <v>146</v>
      </c>
    </row>
    <row r="363" spans="2:10" x14ac:dyDescent="0.2">
      <c r="B363" s="111" t="s">
        <v>405</v>
      </c>
      <c r="C363" s="111">
        <v>10</v>
      </c>
      <c r="D363" s="475" t="s">
        <v>476</v>
      </c>
      <c r="E363" s="30">
        <v>1</v>
      </c>
      <c r="F363" s="111" t="s">
        <v>734</v>
      </c>
      <c r="H363" s="475">
        <f>IF(ISNUMBER(SEARCH(HOME_Country,TablePays[[#This Row],[Country_Names]])),1,0)</f>
        <v>1</v>
      </c>
      <c r="I363" s="30" t="str">
        <f>IF(J363&lt;&gt;"",INDEX(TablePays[Country_Names],J363),"")</f>
        <v>Russian Federation</v>
      </c>
      <c r="J363" s="30">
        <f t="array" ref="J363">IFERROR(MATCH(0,COUNTIF($I$217:I362,TablePays[Country_Names])+IF($H$218:$H$423=0,1,0),0),"")</f>
        <v>147</v>
      </c>
    </row>
    <row r="364" spans="2:10" x14ac:dyDescent="0.2">
      <c r="B364" s="475" t="s">
        <v>656</v>
      </c>
      <c r="C364" s="475">
        <v>99</v>
      </c>
      <c r="D364" s="475" t="s">
        <v>571</v>
      </c>
      <c r="F364" s="111"/>
      <c r="H364" s="475">
        <f>IF(ISNUMBER(SEARCH(HOME_Country,TablePays[[#This Row],[Country_Names]])),1,0)</f>
        <v>1</v>
      </c>
      <c r="I364" s="30" t="str">
        <f>IF(J364&lt;&gt;"",INDEX(TablePays[Country_Names],J364),"")</f>
        <v>Rwanda</v>
      </c>
      <c r="J364" s="30">
        <f t="array" ref="J364">IFERROR(MATCH(0,COUNTIF($I$217:I363,TablePays[Country_Names])+IF($H$218:$H$423=0,1,0),0),"")</f>
        <v>148</v>
      </c>
    </row>
    <row r="365" spans="2:10" x14ac:dyDescent="0.2">
      <c r="B365" s="475" t="s">
        <v>559</v>
      </c>
      <c r="C365" s="475">
        <v>99</v>
      </c>
      <c r="D365" s="475" t="s">
        <v>529</v>
      </c>
      <c r="F365" s="111"/>
      <c r="H365" s="475">
        <f>IF(ISNUMBER(SEARCH(HOME_Country,TablePays[[#This Row],[Country_Names]])),1,0)</f>
        <v>1</v>
      </c>
      <c r="I365" s="30" t="str">
        <f>IF(J365&lt;&gt;"",INDEX(TablePays[Country_Names],J365),"")</f>
        <v>Saint Kitts and Nevis</v>
      </c>
      <c r="J365" s="30">
        <f t="array" ref="J365">IFERROR(MATCH(0,COUNTIF($I$217:I364,TablePays[Country_Names])+IF($H$218:$H$423=0,1,0),0),"")</f>
        <v>149</v>
      </c>
    </row>
    <row r="366" spans="2:10" x14ac:dyDescent="0.2">
      <c r="B366" s="475" t="s">
        <v>668</v>
      </c>
      <c r="C366" s="475">
        <v>99</v>
      </c>
      <c r="D366" s="475" t="s">
        <v>664</v>
      </c>
      <c r="F366" s="111"/>
      <c r="H366" s="475">
        <f>IF(ISNUMBER(SEARCH(HOME_Country,TablePays[[#This Row],[Country_Names]])),1,0)</f>
        <v>1</v>
      </c>
      <c r="I366" s="30" t="str">
        <f>IF(J366&lt;&gt;"",INDEX(TablePays[Country_Names],J366),"")</f>
        <v>Saint Lucia</v>
      </c>
      <c r="J366" s="30">
        <f t="array" ref="J366">IFERROR(MATCH(0,COUNTIF($I$217:I365,TablePays[Country_Names])+IF($H$218:$H$423=0,1,0),0),"")</f>
        <v>150</v>
      </c>
    </row>
    <row r="367" spans="2:10" x14ac:dyDescent="0.2">
      <c r="B367" s="475" t="s">
        <v>669</v>
      </c>
      <c r="C367" s="475">
        <v>99</v>
      </c>
      <c r="D367" s="475" t="s">
        <v>664</v>
      </c>
      <c r="F367" s="111"/>
      <c r="H367" s="475">
        <f>IF(ISNUMBER(SEARCH(HOME_Country,TablePays[[#This Row],[Country_Names]])),1,0)</f>
        <v>1</v>
      </c>
      <c r="I367" s="30" t="str">
        <f>IF(J367&lt;&gt;"",INDEX(TablePays[Country_Names],J367),"")</f>
        <v>Saint Vincent and the Grenadines</v>
      </c>
      <c r="J367" s="30">
        <f t="array" ref="J367">IFERROR(MATCH(0,COUNTIF($I$217:I366,TablePays[Country_Names])+IF($H$218:$H$423=0,1,0),0),"")</f>
        <v>151</v>
      </c>
    </row>
    <row r="368" spans="2:10" x14ac:dyDescent="0.2">
      <c r="B368" s="475" t="s">
        <v>670</v>
      </c>
      <c r="C368" s="475">
        <v>99</v>
      </c>
      <c r="D368" s="475" t="s">
        <v>664</v>
      </c>
      <c r="F368" s="111"/>
      <c r="H368" s="475">
        <f>IF(ISNUMBER(SEARCH(HOME_Country,TablePays[[#This Row],[Country_Names]])),1,0)</f>
        <v>1</v>
      </c>
      <c r="I368" s="30" t="str">
        <f>IF(J368&lt;&gt;"",INDEX(TablePays[Country_Names],J368),"")</f>
        <v>Samoa</v>
      </c>
      <c r="J368" s="30">
        <f t="array" ref="J368">IFERROR(MATCH(0,COUNTIF($I$217:I367,TablePays[Country_Names])+IF($H$218:$H$423=0,1,0),0),"")</f>
        <v>152</v>
      </c>
    </row>
    <row r="369" spans="2:10" x14ac:dyDescent="0.2">
      <c r="B369" s="475" t="s">
        <v>636</v>
      </c>
      <c r="C369" s="475">
        <v>99</v>
      </c>
      <c r="D369" s="475" t="s">
        <v>630</v>
      </c>
      <c r="F369" s="111"/>
      <c r="H369" s="475">
        <f>IF(ISNUMBER(SEARCH(HOME_Country,TablePays[[#This Row],[Country_Names]])),1,0)</f>
        <v>1</v>
      </c>
      <c r="I369" s="30" t="str">
        <f>IF(J369&lt;&gt;"",INDEX(TablePays[Country_Names],J369),"")</f>
        <v>San Marino</v>
      </c>
      <c r="J369" s="30">
        <f t="array" ref="J369">IFERROR(MATCH(0,COUNTIF($I$217:I368,TablePays[Country_Names])+IF($H$218:$H$423=0,1,0),0),"")</f>
        <v>153</v>
      </c>
    </row>
    <row r="370" spans="2:10" x14ac:dyDescent="0.2">
      <c r="B370" s="475" t="s">
        <v>661</v>
      </c>
      <c r="C370" s="475">
        <v>99</v>
      </c>
      <c r="D370" s="475" t="s">
        <v>476</v>
      </c>
      <c r="F370" s="111"/>
      <c r="H370" s="475">
        <f>IF(ISNUMBER(SEARCH(HOME_Country,TablePays[[#This Row],[Country_Names]])),1,0)</f>
        <v>1</v>
      </c>
      <c r="I370" s="30" t="str">
        <f>IF(J370&lt;&gt;"",INDEX(TablePays[Country_Names],J370),"")</f>
        <v>Sao Tome and Principe</v>
      </c>
      <c r="J370" s="30">
        <f t="array" ref="J370">IFERROR(MATCH(0,COUNTIF($I$217:I369,TablePays[Country_Names])+IF($H$218:$H$423=0,1,0),0),"")</f>
        <v>154</v>
      </c>
    </row>
    <row r="371" spans="2:10" x14ac:dyDescent="0.2">
      <c r="B371" s="475" t="s">
        <v>651</v>
      </c>
      <c r="C371" s="475">
        <v>99</v>
      </c>
      <c r="D371" s="475" t="s">
        <v>529</v>
      </c>
      <c r="F371" s="111"/>
      <c r="H371" s="475">
        <f>IF(ISNUMBER(SEARCH(HOME_Country,TablePays[[#This Row],[Country_Names]])),1,0)</f>
        <v>1</v>
      </c>
      <c r="I371" s="30" t="str">
        <f>IF(J371&lt;&gt;"",INDEX(TablePays[Country_Names],J371),"")</f>
        <v>Saudi Arabia</v>
      </c>
      <c r="J371" s="30">
        <f t="array" ref="J371">IFERROR(MATCH(0,COUNTIF($I$217:I370,TablePays[Country_Names])+IF($H$218:$H$423=0,1,0),0),"")</f>
        <v>155</v>
      </c>
    </row>
    <row r="372" spans="2:10" x14ac:dyDescent="0.2">
      <c r="B372" s="475" t="s">
        <v>657</v>
      </c>
      <c r="C372" s="475">
        <v>99</v>
      </c>
      <c r="D372" s="475" t="s">
        <v>571</v>
      </c>
      <c r="F372" s="111"/>
      <c r="H372" s="475">
        <f>IF(ISNUMBER(SEARCH(HOME_Country,TablePays[[#This Row],[Country_Names]])),1,0)</f>
        <v>1</v>
      </c>
      <c r="I372" s="30" t="str">
        <f>IF(J372&lt;&gt;"",INDEX(TablePays[Country_Names],J372),"")</f>
        <v>Senegal</v>
      </c>
      <c r="J372" s="30">
        <f t="array" ref="J372">IFERROR(MATCH(0,COUNTIF($I$217:I371,TablePays[Country_Names])+IF($H$218:$H$423=0,1,0),0),"")</f>
        <v>156</v>
      </c>
    </row>
    <row r="373" spans="2:10" x14ac:dyDescent="0.2">
      <c r="B373" s="475" t="s">
        <v>560</v>
      </c>
      <c r="C373" s="475">
        <v>99</v>
      </c>
      <c r="D373" s="475" t="s">
        <v>529</v>
      </c>
      <c r="F373" s="111"/>
      <c r="H373" s="475">
        <f>IF(ISNUMBER(SEARCH(HOME_Country,TablePays[[#This Row],[Country_Names]])),1,0)</f>
        <v>1</v>
      </c>
      <c r="I373" s="30" t="str">
        <f>IF(J373&lt;&gt;"",INDEX(TablePays[Country_Names],J373),"")</f>
        <v>Serbia</v>
      </c>
      <c r="J373" s="30">
        <f t="array" ref="J373">IFERROR(MATCH(0,COUNTIF($I$217:I372,TablePays[Country_Names])+IF($H$218:$H$423=0,1,0),0),"")</f>
        <v>157</v>
      </c>
    </row>
    <row r="374" spans="2:10" x14ac:dyDescent="0.2">
      <c r="B374" s="475" t="s">
        <v>615</v>
      </c>
      <c r="C374" s="475">
        <v>99</v>
      </c>
      <c r="D374" s="475" t="s">
        <v>476</v>
      </c>
      <c r="F374" s="111"/>
      <c r="H374" s="475">
        <f>IF(ISNUMBER(SEARCH(HOME_Country,TablePays[[#This Row],[Country_Names]])),1,0)</f>
        <v>1</v>
      </c>
      <c r="I374" s="30" t="str">
        <f>IF(J374&lt;&gt;"",INDEX(TablePays[Country_Names],J374),"")</f>
        <v>Seychelles</v>
      </c>
      <c r="J374" s="30">
        <f t="array" ref="J374">IFERROR(MATCH(0,COUNTIF($I$217:I373,TablePays[Country_Names])+IF($H$218:$H$423=0,1,0),0),"")</f>
        <v>158</v>
      </c>
    </row>
    <row r="375" spans="2:10" x14ac:dyDescent="0.2">
      <c r="B375" s="475" t="s">
        <v>561</v>
      </c>
      <c r="C375" s="475">
        <v>99</v>
      </c>
      <c r="D375" s="475" t="s">
        <v>529</v>
      </c>
      <c r="F375" s="111"/>
      <c r="H375" s="475">
        <f>IF(ISNUMBER(SEARCH(HOME_Country,TablePays[[#This Row],[Country_Names]])),1,0)</f>
        <v>1</v>
      </c>
      <c r="I375" s="30" t="str">
        <f>IF(J375&lt;&gt;"",INDEX(TablePays[Country_Names],J375),"")</f>
        <v>Sierra Leone</v>
      </c>
      <c r="J375" s="30">
        <f t="array" ref="J375">IFERROR(MATCH(0,COUNTIF($I$217:I374,TablePays[Country_Names])+IF($H$218:$H$423=0,1,0),0),"")</f>
        <v>159</v>
      </c>
    </row>
    <row r="376" spans="2:10" x14ac:dyDescent="0.2">
      <c r="B376" s="475" t="s">
        <v>652</v>
      </c>
      <c r="C376" s="475">
        <v>99</v>
      </c>
      <c r="D376" s="475" t="s">
        <v>529</v>
      </c>
      <c r="F376" s="111"/>
      <c r="H376" s="475">
        <f>IF(ISNUMBER(SEARCH(HOME_Country,TablePays[[#This Row],[Country_Names]])),1,0)</f>
        <v>1</v>
      </c>
      <c r="I376" s="30" t="str">
        <f>IF(J376&lt;&gt;"",INDEX(TablePays[Country_Names],J376),"")</f>
        <v>Singapor</v>
      </c>
      <c r="J376" s="30">
        <f t="array" ref="J376">IFERROR(MATCH(0,COUNTIF($I$217:I375,TablePays[Country_Names])+IF($H$218:$H$423=0,1,0),0),"")</f>
        <v>160</v>
      </c>
    </row>
    <row r="377" spans="2:10" x14ac:dyDescent="0.2">
      <c r="B377" s="111" t="s">
        <v>448</v>
      </c>
      <c r="C377" s="111">
        <v>12</v>
      </c>
      <c r="D377" s="475" t="s">
        <v>571</v>
      </c>
      <c r="E377" s="30">
        <v>1</v>
      </c>
      <c r="F377" s="111" t="s">
        <v>727</v>
      </c>
      <c r="H377" s="475">
        <f>IF(ISNUMBER(SEARCH(HOME_Country,TablePays[[#This Row],[Country_Names]])),1,0)</f>
        <v>1</v>
      </c>
      <c r="I377" s="30" t="str">
        <f>IF(J377&lt;&gt;"",INDEX(TablePays[Country_Names],J377),"")</f>
        <v>Singapore</v>
      </c>
      <c r="J377" s="30">
        <f t="array" ref="J377">IFERROR(MATCH(0,COUNTIF($I$217:I376,TablePays[Country_Names])+IF($H$218:$H$423=0,1,0),0),"")</f>
        <v>161</v>
      </c>
    </row>
    <row r="378" spans="2:10" x14ac:dyDescent="0.2">
      <c r="B378" s="475" t="s">
        <v>591</v>
      </c>
      <c r="C378" s="475">
        <v>99</v>
      </c>
      <c r="D378" s="475" t="s">
        <v>571</v>
      </c>
      <c r="F378" s="111"/>
      <c r="H378" s="475">
        <f>IF(ISNUMBER(SEARCH(HOME_Country,TablePays[[#This Row],[Country_Names]])),1,0)</f>
        <v>1</v>
      </c>
      <c r="I378" s="30" t="str">
        <f>IF(J378&lt;&gt;"",INDEX(TablePays[Country_Names],J378),"")</f>
        <v>Slovakia</v>
      </c>
      <c r="J378" s="30">
        <f t="array" ref="J378">IFERROR(MATCH(0,COUNTIF($I$217:I377,TablePays[Country_Names])+IF($H$218:$H$423=0,1,0),0),"")</f>
        <v>162</v>
      </c>
    </row>
    <row r="379" spans="2:10" x14ac:dyDescent="0.2">
      <c r="B379" s="111" t="s">
        <v>428</v>
      </c>
      <c r="C379" s="111">
        <v>6</v>
      </c>
      <c r="D379" s="475" t="s">
        <v>476</v>
      </c>
      <c r="E379" s="30">
        <v>1</v>
      </c>
      <c r="F379" s="111" t="s">
        <v>730</v>
      </c>
      <c r="H379" s="475">
        <f>IF(ISNUMBER(SEARCH(HOME_Country,TablePays[[#This Row],[Country_Names]])),1,0)</f>
        <v>1</v>
      </c>
      <c r="I379" s="30" t="str">
        <f>IF(J379&lt;&gt;"",INDEX(TablePays[Country_Names],J379),"")</f>
        <v>Slovenia</v>
      </c>
      <c r="J379" s="30">
        <f t="array" ref="J379">IFERROR(MATCH(0,COUNTIF($I$217:I378,TablePays[Country_Names])+IF($H$218:$H$423=0,1,0),0),"")</f>
        <v>163</v>
      </c>
    </row>
    <row r="380" spans="2:10" x14ac:dyDescent="0.2">
      <c r="B380" s="475" t="s">
        <v>616</v>
      </c>
      <c r="C380" s="475">
        <v>99</v>
      </c>
      <c r="D380" s="475" t="s">
        <v>476</v>
      </c>
      <c r="F380" s="111"/>
      <c r="H380" s="475">
        <f>IF(ISNUMBER(SEARCH(HOME_Country,TablePays[[#This Row],[Country_Names]])),1,0)</f>
        <v>1</v>
      </c>
      <c r="I380" s="30" t="str">
        <f>IF(J380&lt;&gt;"",INDEX(TablePays[Country_Names],J380),"")</f>
        <v>Solomon Islands</v>
      </c>
      <c r="J380" s="30">
        <f t="array" ref="J380">IFERROR(MATCH(0,COUNTIF($I$217:I379,TablePays[Country_Names])+IF($H$218:$H$423=0,1,0),0),"")</f>
        <v>164</v>
      </c>
    </row>
    <row r="381" spans="2:10" x14ac:dyDescent="0.2">
      <c r="B381" s="475" t="s">
        <v>674</v>
      </c>
      <c r="C381" s="475">
        <v>99</v>
      </c>
      <c r="D381" s="475" t="s">
        <v>630</v>
      </c>
      <c r="F381" s="111"/>
      <c r="H381" s="475">
        <f>IF(ISNUMBER(SEARCH(HOME_Country,TablePays[[#This Row],[Country_Names]])),1,0)</f>
        <v>1</v>
      </c>
      <c r="I381" s="30" t="str">
        <f>IF(J381&lt;&gt;"",INDEX(TablePays[Country_Names],J381),"")</f>
        <v>Somalia</v>
      </c>
      <c r="J381" s="30">
        <f t="array" ref="J381">IFERROR(MATCH(0,COUNTIF($I$217:I380,TablePays[Country_Names])+IF($H$218:$H$423=0,1,0),0),"")</f>
        <v>165</v>
      </c>
    </row>
    <row r="382" spans="2:10" x14ac:dyDescent="0.2">
      <c r="B382" s="475" t="s">
        <v>562</v>
      </c>
      <c r="C382" s="475">
        <v>99</v>
      </c>
      <c r="D382" s="475" t="s">
        <v>529</v>
      </c>
      <c r="F382" s="111"/>
      <c r="H382" s="475">
        <f>IF(ISNUMBER(SEARCH(HOME_Country,TablePays[[#This Row],[Country_Names]])),1,0)</f>
        <v>1</v>
      </c>
      <c r="I382" s="30" t="str">
        <f>IF(J382&lt;&gt;"",INDEX(TablePays[Country_Names],J382),"")</f>
        <v>South Africa</v>
      </c>
      <c r="J382" s="30">
        <f t="array" ref="J382">IFERROR(MATCH(0,COUNTIF($I$217:I381,TablePays[Country_Names])+IF($H$218:$H$423=0,1,0),0),"")</f>
        <v>166</v>
      </c>
    </row>
    <row r="383" spans="2:10" x14ac:dyDescent="0.2">
      <c r="B383" s="475" t="s">
        <v>525</v>
      </c>
      <c r="C383" s="475">
        <v>21</v>
      </c>
      <c r="D383" s="475" t="s">
        <v>529</v>
      </c>
      <c r="E383" s="30">
        <v>1</v>
      </c>
      <c r="F383" s="111" t="s">
        <v>724</v>
      </c>
      <c r="H383" s="475">
        <f>IF(ISNUMBER(SEARCH(HOME_Country,TablePays[[#This Row],[Country_Names]])),1,0)</f>
        <v>1</v>
      </c>
      <c r="I383" s="30" t="str">
        <f>IF(J383&lt;&gt;"",INDEX(TablePays[Country_Names],J383),"")</f>
        <v>South Sudan</v>
      </c>
      <c r="J383" s="30">
        <f t="array" ref="J383">IFERROR(MATCH(0,COUNTIF($I$217:I382,TablePays[Country_Names])+IF($H$218:$H$423=0,1,0),0),"")</f>
        <v>168</v>
      </c>
    </row>
    <row r="384" spans="2:10" x14ac:dyDescent="0.2">
      <c r="B384" s="111"/>
      <c r="C384" s="111"/>
      <c r="D384" s="475"/>
      <c r="F384" s="111"/>
      <c r="H384" s="475">
        <f>IF(ISNUMBER(SEARCH(HOME_Country,TablePays[[#This Row],[Country_Names]])),1,0)</f>
        <v>0</v>
      </c>
      <c r="I384" s="30" t="str">
        <f>IF(J384&lt;&gt;"",INDEX(TablePays[Country_Names],J384),"")</f>
        <v>Spain</v>
      </c>
      <c r="J384" s="30">
        <f t="array" ref="J384">IFERROR(MATCH(0,COUNTIF($I$217:I383,TablePays[Country_Names])+IF($H$218:$H$423=0,1,0),0),"")</f>
        <v>169</v>
      </c>
    </row>
    <row r="385" spans="2:10" x14ac:dyDescent="0.2">
      <c r="B385" s="475" t="s">
        <v>653</v>
      </c>
      <c r="C385" s="475">
        <v>99</v>
      </c>
      <c r="D385" s="475" t="s">
        <v>529</v>
      </c>
      <c r="F385" s="111"/>
      <c r="H385" s="475">
        <f>IF(ISNUMBER(SEARCH(HOME_Country,TablePays[[#This Row],[Country_Names]])),1,0)</f>
        <v>1</v>
      </c>
      <c r="I385" s="30" t="str">
        <f>IF(J385&lt;&gt;"",INDEX(TablePays[Country_Names],J385),"")</f>
        <v>Sri Lanka</v>
      </c>
      <c r="J385" s="30">
        <f t="array" ref="J385">IFERROR(MATCH(0,COUNTIF($I$217:I384,TablePays[Country_Names])+IF($H$218:$H$423=0,1,0),0),"")</f>
        <v>170</v>
      </c>
    </row>
    <row r="386" spans="2:10" x14ac:dyDescent="0.2">
      <c r="B386" s="111" t="s">
        <v>437</v>
      </c>
      <c r="C386" s="111">
        <f>8-2</f>
        <v>6</v>
      </c>
      <c r="D386" s="475" t="s">
        <v>476</v>
      </c>
      <c r="E386" s="30">
        <v>1</v>
      </c>
      <c r="F386" s="111" t="s">
        <v>732</v>
      </c>
      <c r="H386" s="475">
        <f>IF(ISNUMBER(SEARCH(HOME_Country,TablePays[[#This Row],[Country_Names]])),1,0)</f>
        <v>1</v>
      </c>
      <c r="I386" s="30" t="str">
        <f>IF(J386&lt;&gt;"",INDEX(TablePays[Country_Names],J386),"")</f>
        <v>Sudan</v>
      </c>
      <c r="J386" s="30">
        <f t="array" ref="J386">IFERROR(MATCH(0,COUNTIF($I$217:I385,TablePays[Country_Names])+IF($H$218:$H$423=0,1,0),0),"")</f>
        <v>171</v>
      </c>
    </row>
    <row r="387" spans="2:10" x14ac:dyDescent="0.2">
      <c r="B387" s="475" t="s">
        <v>658</v>
      </c>
      <c r="C387" s="475">
        <v>99</v>
      </c>
      <c r="D387" s="475" t="s">
        <v>571</v>
      </c>
      <c r="F387" s="111"/>
      <c r="H387" s="475">
        <f>IF(ISNUMBER(SEARCH(HOME_Country,TablePays[[#This Row],[Country_Names]])),1,0)</f>
        <v>1</v>
      </c>
      <c r="I387" s="30" t="str">
        <f>IF(J387&lt;&gt;"",INDEX(TablePays[Country_Names],J387),"")</f>
        <v>Suriname</v>
      </c>
      <c r="J387" s="30">
        <f t="array" ref="J387">IFERROR(MATCH(0,COUNTIF($I$217:I386,TablePays[Country_Names])+IF($H$218:$H$423=0,1,0),0),"")</f>
        <v>172</v>
      </c>
    </row>
    <row r="388" spans="2:10" x14ac:dyDescent="0.2">
      <c r="B388" s="475" t="s">
        <v>563</v>
      </c>
      <c r="C388" s="475">
        <v>99</v>
      </c>
      <c r="D388" s="475" t="s">
        <v>529</v>
      </c>
      <c r="F388" s="111"/>
      <c r="H388" s="475">
        <f>IF(ISNUMBER(SEARCH(HOME_Country,TablePays[[#This Row],[Country_Names]])),1,0)</f>
        <v>1</v>
      </c>
      <c r="I388" s="30" t="str">
        <f>IF(J388&lt;&gt;"",INDEX(TablePays[Country_Names],J388),"")</f>
        <v>Swaziland</v>
      </c>
      <c r="J388" s="30">
        <f t="array" ref="J388">IFERROR(MATCH(0,COUNTIF($I$217:I387,TablePays[Country_Names])+IF($H$218:$H$423=0,1,0),0),"")</f>
        <v>173</v>
      </c>
    </row>
    <row r="389" spans="2:10" x14ac:dyDescent="0.2">
      <c r="B389" s="475" t="s">
        <v>644</v>
      </c>
      <c r="C389" s="475">
        <v>99</v>
      </c>
      <c r="D389" s="475" t="s">
        <v>675</v>
      </c>
      <c r="F389" s="111"/>
      <c r="H389" s="475">
        <f>IF(ISNUMBER(SEARCH(HOME_Country,TablePays[[#This Row],[Country_Names]])),1,0)</f>
        <v>1</v>
      </c>
      <c r="I389" s="30" t="str">
        <f>IF(J389&lt;&gt;"",INDEX(TablePays[Country_Names],J389),"")</f>
        <v>Sweden</v>
      </c>
      <c r="J389" s="30">
        <f t="array" ref="J389">IFERROR(MATCH(0,COUNTIF($I$217:I388,TablePays[Country_Names])+IF($H$218:$H$423=0,1,0),0),"")</f>
        <v>174</v>
      </c>
    </row>
    <row r="390" spans="2:10" x14ac:dyDescent="0.2">
      <c r="B390" s="475" t="s">
        <v>564</v>
      </c>
      <c r="C390" s="475">
        <v>99</v>
      </c>
      <c r="D390" s="475" t="s">
        <v>529</v>
      </c>
      <c r="F390" s="111"/>
      <c r="H390" s="475">
        <f>IF(ISNUMBER(SEARCH(HOME_Country,TablePays[[#This Row],[Country_Names]])),1,0)</f>
        <v>1</v>
      </c>
      <c r="I390" s="30" t="str">
        <f>IF(J390&lt;&gt;"",INDEX(TablePays[Country_Names],J390),"")</f>
        <v>Switzerland</v>
      </c>
      <c r="J390" s="30">
        <f t="array" ref="J390">IFERROR(MATCH(0,COUNTIF($I$217:I389,TablePays[Country_Names])+IF($H$218:$H$423=0,1,0),0),"")</f>
        <v>175</v>
      </c>
    </row>
    <row r="391" spans="2:10" x14ac:dyDescent="0.2">
      <c r="B391" s="111" t="s">
        <v>441</v>
      </c>
      <c r="C391" s="111">
        <f>9-3</f>
        <v>6</v>
      </c>
      <c r="D391" s="475" t="s">
        <v>476</v>
      </c>
      <c r="E391" s="30">
        <v>1</v>
      </c>
      <c r="F391" s="111" t="s">
        <v>733</v>
      </c>
      <c r="H391" s="475">
        <f>IF(ISNUMBER(SEARCH(HOME_Country,TablePays[[#This Row],[Country_Names]])),1,0)</f>
        <v>1</v>
      </c>
      <c r="I391" s="30" t="str">
        <f>IF(J391&lt;&gt;"",INDEX(TablePays[Country_Names],J391),"")</f>
        <v>Syria</v>
      </c>
      <c r="J391" s="30">
        <f t="array" ref="J391">IFERROR(MATCH(0,COUNTIF($I$217:I390,TablePays[Country_Names])+IF($H$218:$H$423=0,1,0),0),"")</f>
        <v>176</v>
      </c>
    </row>
    <row r="392" spans="2:10" x14ac:dyDescent="0.2">
      <c r="B392" s="111" t="s">
        <v>425</v>
      </c>
      <c r="C392" s="111">
        <v>6</v>
      </c>
      <c r="D392" s="475" t="s">
        <v>476</v>
      </c>
      <c r="E392" s="30">
        <v>1</v>
      </c>
      <c r="F392" s="111" t="s">
        <v>730</v>
      </c>
      <c r="H392" s="475">
        <f>IF(ISNUMBER(SEARCH(HOME_Country,TablePays[[#This Row],[Country_Names]])),1,0)</f>
        <v>1</v>
      </c>
      <c r="I392" s="30" t="str">
        <f>IF(J392&lt;&gt;"",INDEX(TablePays[Country_Names],J392),"")</f>
        <v>Taiwan</v>
      </c>
      <c r="J392" s="30">
        <f t="array" ref="J392">IFERROR(MATCH(0,COUNTIF($I$217:I391,TablePays[Country_Names])+IF($H$218:$H$423=0,1,0),0),"")</f>
        <v>177</v>
      </c>
    </row>
    <row r="393" spans="2:10" x14ac:dyDescent="0.2">
      <c r="B393" s="475" t="s">
        <v>592</v>
      </c>
      <c r="C393" s="475">
        <v>99</v>
      </c>
      <c r="D393" s="475" t="s">
        <v>571</v>
      </c>
      <c r="F393" s="111"/>
      <c r="H393" s="475">
        <f>IF(ISNUMBER(SEARCH(HOME_Country,TablePays[[#This Row],[Country_Names]])),1,0)</f>
        <v>1</v>
      </c>
      <c r="I393" s="30" t="str">
        <f>IF(J393&lt;&gt;"",INDEX(TablePays[Country_Names],J393),"")</f>
        <v>Tajikistan</v>
      </c>
      <c r="J393" s="30">
        <f t="array" ref="J393">IFERROR(MATCH(0,COUNTIF($I$217:I392,TablePays[Country_Names])+IF($H$218:$H$423=0,1,0),0),"")</f>
        <v>178</v>
      </c>
    </row>
    <row r="394" spans="2:10" x14ac:dyDescent="0.2">
      <c r="B394" s="111" t="s">
        <v>449</v>
      </c>
      <c r="C394" s="111">
        <v>12</v>
      </c>
      <c r="D394" s="475" t="s">
        <v>571</v>
      </c>
      <c r="E394" s="30">
        <v>1</v>
      </c>
      <c r="F394" s="111" t="s">
        <v>725</v>
      </c>
      <c r="H394" s="475">
        <f>IF(ISNUMBER(SEARCH(HOME_Country,TablePays[[#This Row],[Country_Names]])),1,0)</f>
        <v>1</v>
      </c>
      <c r="I394" s="30" t="str">
        <f>IF(J394&lt;&gt;"",INDEX(TablePays[Country_Names],J394),"")</f>
        <v>Tanzania</v>
      </c>
      <c r="J394" s="30">
        <f t="array" ref="J394">IFERROR(MATCH(0,COUNTIF($I$217:I393,TablePays[Country_Names])+IF($H$218:$H$423=0,1,0),0),"")</f>
        <v>179</v>
      </c>
    </row>
    <row r="395" spans="2:10" x14ac:dyDescent="0.2">
      <c r="B395" s="475" t="s">
        <v>593</v>
      </c>
      <c r="C395" s="475">
        <v>99</v>
      </c>
      <c r="D395" s="475" t="s">
        <v>571</v>
      </c>
      <c r="F395" s="111"/>
      <c r="H395" s="475">
        <f>IF(ISNUMBER(SEARCH(HOME_Country,TablePays[[#This Row],[Country_Names]])),1,0)</f>
        <v>1</v>
      </c>
      <c r="I395" s="30" t="str">
        <f>IF(J395&lt;&gt;"",INDEX(TablePays[Country_Names],J395),"")</f>
        <v>Thailand</v>
      </c>
      <c r="J395" s="30">
        <f t="array" ref="J395">IFERROR(MATCH(0,COUNTIF($I$217:I394,TablePays[Country_Names])+IF($H$218:$H$423=0,1,0),0),"")</f>
        <v>180</v>
      </c>
    </row>
    <row r="396" spans="2:10" x14ac:dyDescent="0.2">
      <c r="B396" s="475" t="s">
        <v>565</v>
      </c>
      <c r="C396" s="475">
        <v>99</v>
      </c>
      <c r="D396" s="475" t="s">
        <v>529</v>
      </c>
      <c r="F396" s="111"/>
      <c r="H396" s="475">
        <f>IF(ISNUMBER(SEARCH(HOME_Country,TablePays[[#This Row],[Country_Names]])),1,0)</f>
        <v>1</v>
      </c>
      <c r="I396" s="30" t="str">
        <f>IF(J396&lt;&gt;"",INDEX(TablePays[Country_Names],J396),"")</f>
        <v>Togo</v>
      </c>
      <c r="J396" s="30">
        <f t="array" ref="J396">IFERROR(MATCH(0,COUNTIF($I$217:I395,TablePays[Country_Names])+IF($H$218:$H$423=0,1,0),0),"")</f>
        <v>181</v>
      </c>
    </row>
    <row r="397" spans="2:10" x14ac:dyDescent="0.2">
      <c r="B397" s="111" t="s">
        <v>447</v>
      </c>
      <c r="C397" s="111">
        <v>12</v>
      </c>
      <c r="D397" s="475" t="s">
        <v>571</v>
      </c>
      <c r="E397" s="30">
        <v>1</v>
      </c>
      <c r="F397" s="111" t="s">
        <v>727</v>
      </c>
      <c r="H397" s="475">
        <f>IF(ISNUMBER(SEARCH(HOME_Country,TablePays[[#This Row],[Country_Names]])),1,0)</f>
        <v>1</v>
      </c>
      <c r="I397" s="30" t="str">
        <f>IF(J397&lt;&gt;"",INDEX(TablePays[Country_Names],J397),"")</f>
        <v>Tonga</v>
      </c>
      <c r="J397" s="30">
        <f t="array" ref="J397">IFERROR(MATCH(0,COUNTIF($I$217:I396,TablePays[Country_Names])+IF($H$218:$H$423=0,1,0),0),"")</f>
        <v>182</v>
      </c>
    </row>
    <row r="398" spans="2:10" x14ac:dyDescent="0.2">
      <c r="B398" s="475" t="s">
        <v>566</v>
      </c>
      <c r="C398" s="475">
        <v>99</v>
      </c>
      <c r="D398" s="475" t="s">
        <v>529</v>
      </c>
      <c r="F398" s="111"/>
      <c r="H398" s="475">
        <f>IF(ISNUMBER(SEARCH(HOME_Country,TablePays[[#This Row],[Country_Names]])),1,0)</f>
        <v>1</v>
      </c>
      <c r="I398" s="30" t="str">
        <f>IF(J398&lt;&gt;"",INDEX(TablePays[Country_Names],J398),"")</f>
        <v>Trinidad and Tobago</v>
      </c>
      <c r="J398" s="30">
        <f t="array" ref="J398">IFERROR(MATCH(0,COUNTIF($I$217:I397,TablePays[Country_Names])+IF($H$218:$H$423=0,1,0),0),"")</f>
        <v>183</v>
      </c>
    </row>
    <row r="399" spans="2:10" x14ac:dyDescent="0.2">
      <c r="B399" s="475" t="s">
        <v>637</v>
      </c>
      <c r="C399" s="475">
        <v>99</v>
      </c>
      <c r="D399" s="475" t="s">
        <v>630</v>
      </c>
      <c r="F399" s="111"/>
      <c r="H399" s="475">
        <f>IF(ISNUMBER(SEARCH(HOME_Country,TablePays[[#This Row],[Country_Names]])),1,0)</f>
        <v>1</v>
      </c>
      <c r="I399" s="30" t="str">
        <f>IF(J399&lt;&gt;"",INDEX(TablePays[Country_Names],J399),"")</f>
        <v>Tunisia</v>
      </c>
      <c r="J399" s="30">
        <f t="array" ref="J399">IFERROR(MATCH(0,COUNTIF($I$217:I398,TablePays[Country_Names])+IF($H$218:$H$423=0,1,0),0),"")</f>
        <v>184</v>
      </c>
    </row>
    <row r="400" spans="2:10" x14ac:dyDescent="0.2">
      <c r="B400" s="475" t="s">
        <v>671</v>
      </c>
      <c r="C400" s="475">
        <v>99</v>
      </c>
      <c r="D400" s="475" t="s">
        <v>664</v>
      </c>
      <c r="F400" s="111"/>
      <c r="H400" s="475">
        <f>IF(ISNUMBER(SEARCH(HOME_Country,TablePays[[#This Row],[Country_Names]])),1,0)</f>
        <v>1</v>
      </c>
      <c r="I400" s="30" t="str">
        <f>IF(J400&lt;&gt;"",INDEX(TablePays[Country_Names],J400),"")</f>
        <v>Turkey</v>
      </c>
      <c r="J400" s="30">
        <f t="array" ref="J400">IFERROR(MATCH(0,COUNTIF($I$217:I399,TablePays[Country_Names])+IF($H$218:$H$423=0,1,0),0),"")</f>
        <v>185</v>
      </c>
    </row>
    <row r="401" spans="2:10" x14ac:dyDescent="0.2">
      <c r="B401" s="475" t="s">
        <v>567</v>
      </c>
      <c r="C401" s="475">
        <v>99</v>
      </c>
      <c r="D401" s="475" t="s">
        <v>529</v>
      </c>
      <c r="F401" s="111"/>
      <c r="H401" s="475">
        <f>IF(ISNUMBER(SEARCH(HOME_Country,TablePays[[#This Row],[Country_Names]])),1,0)</f>
        <v>1</v>
      </c>
      <c r="I401" s="30" t="str">
        <f>IF(J401&lt;&gt;"",INDEX(TablePays[Country_Names],J401),"")</f>
        <v>Turkmenistan</v>
      </c>
      <c r="J401" s="30">
        <f t="array" ref="J401">IFERROR(MATCH(0,COUNTIF($I$217:I400,TablePays[Country_Names])+IF($H$218:$H$423=0,1,0),0),"")</f>
        <v>186</v>
      </c>
    </row>
    <row r="402" spans="2:10" x14ac:dyDescent="0.2">
      <c r="B402" s="111" t="s">
        <v>284</v>
      </c>
      <c r="C402" s="111">
        <v>10</v>
      </c>
      <c r="D402" s="475" t="s">
        <v>571</v>
      </c>
      <c r="E402" s="30">
        <v>1</v>
      </c>
      <c r="F402" s="111" t="s">
        <v>728</v>
      </c>
      <c r="H402" s="475">
        <f>IF(ISNUMBER(SEARCH(HOME_Country,TablePays[[#This Row],[Country_Names]])),1,0)</f>
        <v>1</v>
      </c>
      <c r="I402" s="30" t="str">
        <f>IF(J402&lt;&gt;"",INDEX(TablePays[Country_Names],J402),"")</f>
        <v>Tuvalu</v>
      </c>
      <c r="J402" s="30">
        <f t="array" ref="J402">IFERROR(MATCH(0,COUNTIF($I$217:I401,TablePays[Country_Names])+IF($H$218:$H$423=0,1,0),0),"")</f>
        <v>187</v>
      </c>
    </row>
    <row r="403" spans="2:10" x14ac:dyDescent="0.2">
      <c r="B403" s="475" t="s">
        <v>594</v>
      </c>
      <c r="C403" s="475">
        <v>99</v>
      </c>
      <c r="D403" s="475" t="s">
        <v>571</v>
      </c>
      <c r="F403" s="111"/>
      <c r="H403" s="475">
        <f>IF(ISNUMBER(SEARCH(HOME_Country,TablePays[[#This Row],[Country_Names]])),1,0)</f>
        <v>1</v>
      </c>
      <c r="I403" s="30" t="str">
        <f>IF(J403&lt;&gt;"",INDEX(TablePays[Country_Names],J403),"")</f>
        <v>Uganda</v>
      </c>
      <c r="J403" s="30">
        <f t="array" ref="J403">IFERROR(MATCH(0,COUNTIF($I$217:I402,TablePays[Country_Names])+IF($H$218:$H$423=0,1,0),0),"")</f>
        <v>188</v>
      </c>
    </row>
    <row r="404" spans="2:10" x14ac:dyDescent="0.2">
      <c r="B404" s="475" t="s">
        <v>638</v>
      </c>
      <c r="C404" s="475">
        <v>99</v>
      </c>
      <c r="D404" s="475" t="s">
        <v>630</v>
      </c>
      <c r="F404" s="111"/>
      <c r="H404" s="475">
        <f>IF(ISNUMBER(SEARCH(HOME_Country,TablePays[[#This Row],[Country_Names]])),1,0)</f>
        <v>1</v>
      </c>
      <c r="I404" s="30" t="str">
        <f>IF(J404&lt;&gt;"",INDEX(TablePays[Country_Names],J404),"")</f>
        <v>UK</v>
      </c>
      <c r="J404" s="30">
        <f t="array" ref="J404">IFERROR(MATCH(0,COUNTIF($I$217:I403,TablePays[Country_Names])+IF($H$218:$H$423=0,1,0),0),"")</f>
        <v>189</v>
      </c>
    </row>
    <row r="405" spans="2:10" x14ac:dyDescent="0.2">
      <c r="B405" s="475" t="s">
        <v>568</v>
      </c>
      <c r="C405" s="475">
        <v>99</v>
      </c>
      <c r="D405" s="475" t="s">
        <v>529</v>
      </c>
      <c r="F405" s="111"/>
      <c r="H405" s="475">
        <f>IF(ISNUMBER(SEARCH(HOME_Country,TablePays[[#This Row],[Country_Names]])),1,0)</f>
        <v>1</v>
      </c>
      <c r="I405" s="30" t="str">
        <f>IF(J405&lt;&gt;"",INDEX(TablePays[Country_Names],J405),"")</f>
        <v>Ukraine</v>
      </c>
      <c r="J405" s="30">
        <f t="array" ref="J405">IFERROR(MATCH(0,COUNTIF($I$217:I404,TablePays[Country_Names])+IF($H$218:$H$423=0,1,0),0),"")</f>
        <v>190</v>
      </c>
    </row>
    <row r="406" spans="2:10" x14ac:dyDescent="0.2">
      <c r="B406" s="111" t="s">
        <v>433</v>
      </c>
      <c r="C406" s="111">
        <f>7-1</f>
        <v>6</v>
      </c>
      <c r="D406" s="475" t="s">
        <v>476</v>
      </c>
      <c r="E406" s="30">
        <v>1</v>
      </c>
      <c r="F406" s="111" t="s">
        <v>731</v>
      </c>
      <c r="H406" s="475">
        <f>IF(ISNUMBER(SEARCH(HOME_Country,TablePays[[#This Row],[Country_Names]])),1,0)</f>
        <v>1</v>
      </c>
      <c r="I406" s="30" t="str">
        <f>IF(J406&lt;&gt;"",INDEX(TablePays[Country_Names],J406),"")</f>
        <v>United Arab Emirates</v>
      </c>
      <c r="J406" s="30">
        <f t="array" ref="J406">IFERROR(MATCH(0,COUNTIF($I$217:I405,TablePays[Country_Names])+IF($H$218:$H$423=0,1,0),0),"")</f>
        <v>191</v>
      </c>
    </row>
    <row r="407" spans="2:10" x14ac:dyDescent="0.2">
      <c r="B407" s="475" t="s">
        <v>617</v>
      </c>
      <c r="C407" s="475">
        <v>99</v>
      </c>
      <c r="D407" s="475" t="s">
        <v>476</v>
      </c>
      <c r="F407" s="111"/>
      <c r="H407" s="475">
        <f>IF(ISNUMBER(SEARCH(HOME_Country,TablePays[[#This Row],[Country_Names]])),1,0)</f>
        <v>1</v>
      </c>
      <c r="I407" s="30" t="str">
        <f>IF(J407&lt;&gt;"",INDEX(TablePays[Country_Names],J407),"")</f>
        <v>United Kingdom</v>
      </c>
      <c r="J407" s="30">
        <f t="array" ref="J407">IFERROR(MATCH(0,COUNTIF($I$217:I406,TablePays[Country_Names])+IF($H$218:$H$423=0,1,0),0),"")</f>
        <v>192</v>
      </c>
    </row>
    <row r="408" spans="2:10" x14ac:dyDescent="0.2">
      <c r="B408" s="475" t="s">
        <v>659</v>
      </c>
      <c r="C408" s="475">
        <v>99</v>
      </c>
      <c r="D408" s="475" t="s">
        <v>571</v>
      </c>
      <c r="F408" s="111"/>
      <c r="H408" s="475">
        <f>IF(ISNUMBER(SEARCH(HOME_Country,TablePays[[#This Row],[Country_Names]])),1,0)</f>
        <v>1</v>
      </c>
      <c r="I408" s="30" t="str">
        <f>IF(J408&lt;&gt;"",INDEX(TablePays[Country_Names],J408),"")</f>
        <v>United States</v>
      </c>
      <c r="J408" s="30">
        <f t="array" ref="J408">IFERROR(MATCH(0,COUNTIF($I$217:I407,TablePays[Country_Names])+IF($H$218:$H$423=0,1,0),0),"")</f>
        <v>193</v>
      </c>
    </row>
    <row r="409" spans="2:10" x14ac:dyDescent="0.2">
      <c r="B409" s="475" t="s">
        <v>662</v>
      </c>
      <c r="C409" s="475">
        <v>6</v>
      </c>
      <c r="D409" s="475" t="s">
        <v>476</v>
      </c>
      <c r="F409" s="111"/>
      <c r="H409" s="475">
        <f>IF(ISNUMBER(SEARCH(HOME_Country,TablePays[[#This Row],[Country_Names]])),1,0)</f>
        <v>1</v>
      </c>
      <c r="I409" s="30" t="str">
        <f>IF(J409&lt;&gt;"",INDEX(TablePays[Country_Names],J409),"")</f>
        <v>Uruguay</v>
      </c>
      <c r="J409" s="30">
        <f t="array" ref="J409">IFERROR(MATCH(0,COUNTIF($I$217:I408,TablePays[Country_Names])+IF($H$218:$H$423=0,1,0),0),"")</f>
        <v>194</v>
      </c>
    </row>
    <row r="410" spans="2:10" x14ac:dyDescent="0.2">
      <c r="B410" s="475" t="s">
        <v>714</v>
      </c>
      <c r="C410" s="111">
        <v>2</v>
      </c>
      <c r="D410" s="475" t="s">
        <v>718</v>
      </c>
      <c r="F410" s="111"/>
      <c r="H410" s="475">
        <f>IF(ISNUMBER(SEARCH(HOME_Country,TablePays[[#This Row],[Country_Names]])),1,0)</f>
        <v>1</v>
      </c>
      <c r="I410" s="30" t="str">
        <f>IF(J410&lt;&gt;"",INDEX(TablePays[Country_Names],J410),"")</f>
        <v>USA</v>
      </c>
      <c r="J410" s="30">
        <f t="array" ref="J410">IFERROR(MATCH(0,COUNTIF($I$217:I409,TablePays[Country_Names])+IF($H$218:$H$423=0,1,0),0),"")</f>
        <v>195</v>
      </c>
    </row>
    <row r="411" spans="2:10" x14ac:dyDescent="0.2">
      <c r="B411" s="475" t="s">
        <v>645</v>
      </c>
      <c r="C411" s="475">
        <v>99</v>
      </c>
      <c r="D411" s="475" t="s">
        <v>675</v>
      </c>
      <c r="F411" s="111"/>
      <c r="H411" s="475">
        <f>IF(ISNUMBER(SEARCH(HOME_Country,TablePays[[#This Row],[Country_Names]])),1,0)</f>
        <v>1</v>
      </c>
      <c r="I411" s="30" t="str">
        <f>IF(J411&lt;&gt;"",INDEX(TablePays[Country_Names],J411),"")</f>
        <v>USA (Alaska)</v>
      </c>
      <c r="J411" s="30">
        <f t="array" ref="J411">IFERROR(MATCH(0,COUNTIF($I$217:I410,TablePays[Country_Names])+IF($H$218:$H$423=0,1,0),0),"")</f>
        <v>196</v>
      </c>
    </row>
    <row r="412" spans="2:10" x14ac:dyDescent="0.2">
      <c r="B412" s="111" t="s">
        <v>133</v>
      </c>
      <c r="C412" s="111">
        <v>2</v>
      </c>
      <c r="D412" s="475" t="s">
        <v>718</v>
      </c>
      <c r="E412" s="30">
        <v>1</v>
      </c>
      <c r="F412" s="111" t="s">
        <v>133</v>
      </c>
      <c r="H412" s="475">
        <f>IF(ISNUMBER(SEARCH(HOME_Country,TablePays[[#This Row],[Country_Names]])),1,0)</f>
        <v>1</v>
      </c>
      <c r="I412" s="30" t="str">
        <f>IF(J412&lt;&gt;"",INDEX(TablePays[Country_Names],J412),"")</f>
        <v>USA (Hawaii)</v>
      </c>
      <c r="J412" s="30">
        <f t="array" ref="J412">IFERROR(MATCH(0,COUNTIF($I$217:I411,TablePays[Country_Names])+IF($H$218:$H$423=0,1,0),0),"")</f>
        <v>197</v>
      </c>
    </row>
    <row r="413" spans="2:10" x14ac:dyDescent="0.2">
      <c r="B413" s="475" t="s">
        <v>708</v>
      </c>
      <c r="C413" s="475">
        <v>3</v>
      </c>
      <c r="D413" s="475" t="s">
        <v>718</v>
      </c>
      <c r="E413" s="30">
        <v>1</v>
      </c>
      <c r="F413" s="111" t="s">
        <v>133</v>
      </c>
      <c r="H413" s="475">
        <f>IF(ISNUMBER(SEARCH(HOME_Country,TablePays[[#This Row],[Country_Names]])),1,0)</f>
        <v>1</v>
      </c>
      <c r="I413" s="30" t="str">
        <f>IF(J413&lt;&gt;"",INDEX(TablePays[Country_Names],J413),"")</f>
        <v>Uzbekistan</v>
      </c>
      <c r="J413" s="30">
        <f t="array" ref="J413">IFERROR(MATCH(0,COUNTIF($I$217:I412,TablePays[Country_Names])+IF($H$218:$H$423=0,1,0),0),"")</f>
        <v>198</v>
      </c>
    </row>
    <row r="414" spans="2:10" x14ac:dyDescent="0.2">
      <c r="B414" s="475" t="s">
        <v>707</v>
      </c>
      <c r="C414" s="475">
        <v>3</v>
      </c>
      <c r="D414" s="475" t="s">
        <v>718</v>
      </c>
      <c r="E414" s="30">
        <v>1</v>
      </c>
      <c r="F414" s="111" t="s">
        <v>133</v>
      </c>
      <c r="H414" s="475">
        <f>IF(ISNUMBER(SEARCH(HOME_Country,TablePays[[#This Row],[Country_Names]])),1,0)</f>
        <v>1</v>
      </c>
      <c r="I414" s="30" t="str">
        <f>IF(J414&lt;&gt;"",INDEX(TablePays[Country_Names],J414),"")</f>
        <v>Vanuatu</v>
      </c>
      <c r="J414" s="30">
        <f t="array" ref="J414">IFERROR(MATCH(0,COUNTIF($I$217:I413,TablePays[Country_Names])+IF($H$218:$H$423=0,1,0),0),"")</f>
        <v>199</v>
      </c>
    </row>
    <row r="415" spans="2:10" x14ac:dyDescent="0.2">
      <c r="B415" s="475" t="s">
        <v>595</v>
      </c>
      <c r="C415" s="475">
        <v>99</v>
      </c>
      <c r="D415" s="475" t="s">
        <v>571</v>
      </c>
      <c r="F415" s="111"/>
      <c r="H415" s="475">
        <f>IF(ISNUMBER(SEARCH(HOME_Country,TablePays[[#This Row],[Country_Names]])),1,0)</f>
        <v>1</v>
      </c>
      <c r="I415" s="30" t="str">
        <f>IF(J415&lt;&gt;"",INDEX(TablePays[Country_Names],J415),"")</f>
        <v>Vatican City</v>
      </c>
      <c r="J415" s="30">
        <f t="array" ref="J415">IFERROR(MATCH(0,COUNTIF($I$217:I414,TablePays[Country_Names])+IF($H$218:$H$423=0,1,0),0),"")</f>
        <v>200</v>
      </c>
    </row>
    <row r="416" spans="2:10" x14ac:dyDescent="0.2">
      <c r="B416" s="475" t="s">
        <v>639</v>
      </c>
      <c r="C416" s="475">
        <v>99</v>
      </c>
      <c r="D416" s="475" t="s">
        <v>630</v>
      </c>
      <c r="F416" s="111"/>
      <c r="H416" s="475">
        <f>IF(ISNUMBER(SEARCH(HOME_Country,TablePays[[#This Row],[Country_Names]])),1,0)</f>
        <v>1</v>
      </c>
      <c r="I416" s="30" t="str">
        <f>IF(J416&lt;&gt;"",INDEX(TablePays[Country_Names],J416),"")</f>
        <v>Venezuela</v>
      </c>
      <c r="J416" s="30">
        <f t="array" ref="J416">IFERROR(MATCH(0,COUNTIF($I$217:I415,TablePays[Country_Names])+IF($H$218:$H$423=0,1,0),0),"")</f>
        <v>201</v>
      </c>
    </row>
    <row r="417" spans="2:17" x14ac:dyDescent="0.2">
      <c r="B417" s="475" t="s">
        <v>663</v>
      </c>
      <c r="C417" s="475">
        <v>99</v>
      </c>
      <c r="D417" s="475" t="s">
        <v>476</v>
      </c>
      <c r="F417" s="111"/>
      <c r="H417" s="475">
        <f>IF(ISNUMBER(SEARCH(HOME_Country,TablePays[[#This Row],[Country_Names]])),1,0)</f>
        <v>1</v>
      </c>
      <c r="I417" s="30" t="str">
        <f>IF(J417&lt;&gt;"",INDEX(TablePays[Country_Names],J417),"")</f>
        <v>Vietnam</v>
      </c>
      <c r="J417" s="30">
        <f t="array" ref="J417">IFERROR(MATCH(0,COUNTIF($I$217:I416,TablePays[Country_Names])+IF($H$218:$H$423=0,1,0),0),"")</f>
        <v>202</v>
      </c>
    </row>
    <row r="418" spans="2:17" x14ac:dyDescent="0.2">
      <c r="B418" s="475" t="s">
        <v>646</v>
      </c>
      <c r="C418" s="475">
        <v>99</v>
      </c>
      <c r="D418" s="475" t="s">
        <v>675</v>
      </c>
      <c r="F418" s="111"/>
      <c r="H418" s="475">
        <f>IF(ISNUMBER(SEARCH(HOME_Country,TablePays[[#This Row],[Country_Names]])),1,0)</f>
        <v>1</v>
      </c>
      <c r="I418" s="30" t="str">
        <f>IF(J418&lt;&gt;"",INDEX(TablePays[Country_Names],J418),"")</f>
        <v>Yemen</v>
      </c>
      <c r="J418" s="30">
        <f t="array" ref="J418">IFERROR(MATCH(0,COUNTIF($I$217:I417,TablePays[Country_Names])+IF($H$218:$H$423=0,1,0),0),"")</f>
        <v>203</v>
      </c>
    </row>
    <row r="419" spans="2:17" x14ac:dyDescent="0.2">
      <c r="B419" s="475" t="s">
        <v>596</v>
      </c>
      <c r="C419" s="475">
        <v>99</v>
      </c>
      <c r="D419" s="475" t="s">
        <v>571</v>
      </c>
      <c r="F419" s="111"/>
      <c r="H419" s="475">
        <f>IF(ISNUMBER(SEARCH(HOME_Country,TablePays[[#This Row],[Country_Names]])),1,0)</f>
        <v>1</v>
      </c>
      <c r="I419" s="30" t="str">
        <f>IF(J419&lt;&gt;"",INDEX(TablePays[Country_Names],J419),"")</f>
        <v>Zambia</v>
      </c>
      <c r="J419" s="30">
        <f t="array" ref="J419">IFERROR(MATCH(0,COUNTIF($I$217:I418,TablePays[Country_Names])+IF($H$218:$H$423=0,1,0),0),"")</f>
        <v>204</v>
      </c>
    </row>
    <row r="420" spans="2:17" x14ac:dyDescent="0.2">
      <c r="B420" s="475" t="s">
        <v>597</v>
      </c>
      <c r="C420" s="475">
        <v>99</v>
      </c>
      <c r="D420" s="475" t="s">
        <v>571</v>
      </c>
      <c r="F420" s="111"/>
      <c r="H420" s="475">
        <f>IF(ISNUMBER(SEARCH(HOME_Country,TablePays[[#This Row],[Country_Names]])),1,0)</f>
        <v>1</v>
      </c>
      <c r="I420" s="30" t="str">
        <f>IF(J420&lt;&gt;"",INDEX(TablePays[Country_Names],J420),"")</f>
        <v>Zimbabwe</v>
      </c>
      <c r="J420" s="30">
        <f t="array" ref="J420">IFERROR(MATCH(0,COUNTIF($I$217:I419,TablePays[Country_Names])+IF($H$218:$H$423=0,1,0),0),"")</f>
        <v>205</v>
      </c>
    </row>
    <row r="421" spans="2:17" x14ac:dyDescent="0.2">
      <c r="B421" s="475" t="s">
        <v>569</v>
      </c>
      <c r="C421" s="475">
        <v>99</v>
      </c>
      <c r="D421" s="475" t="s">
        <v>529</v>
      </c>
      <c r="F421" s="475"/>
      <c r="H421" s="475">
        <f>IF(ISNUMBER(SEARCH(HOME_Country,TablePays[[#This Row],[Country_Names]])),1,0)</f>
        <v>1</v>
      </c>
      <c r="I421" s="30" t="str">
        <f>IF(J421&lt;&gt;"",INDEX(TablePays[Country_Names],J421),"")</f>
        <v/>
      </c>
      <c r="J421" s="30" t="str">
        <f t="array" ref="J421">IFERROR(MATCH(0,COUNTIF($I$217:I420,TablePays[Country_Names])+IF($H$218:$H$423=0,1,0),0),"")</f>
        <v/>
      </c>
    </row>
    <row r="422" spans="2:17" x14ac:dyDescent="0.2">
      <c r="B422" s="475" t="s">
        <v>570</v>
      </c>
      <c r="C422" s="475">
        <v>99</v>
      </c>
      <c r="D422" s="475" t="s">
        <v>529</v>
      </c>
      <c r="F422" s="475"/>
      <c r="H422" s="475">
        <f>IF(ISNUMBER(SEARCH(HOME_Country,TablePays[[#This Row],[Country_Names]])),1,0)</f>
        <v>1</v>
      </c>
      <c r="I422" s="30" t="str">
        <f>IF(J422&lt;&gt;"",INDEX(TablePays[Country_Names],J422),"")</f>
        <v/>
      </c>
      <c r="J422" s="30" t="str">
        <f t="array" ref="J422">IFERROR(MATCH(0,COUNTIF($I$217:I421,TablePays[Country_Names])+IF($H$218:$H$423=0,1,0),0),"")</f>
        <v/>
      </c>
    </row>
    <row r="423" spans="2:17" x14ac:dyDescent="0.2">
      <c r="B423" s="475"/>
      <c r="C423" s="475"/>
      <c r="D423" s="475"/>
      <c r="F423" s="475"/>
      <c r="H423" s="475">
        <f>IF(ISNUMBER(SEARCH(HOME_Country,TablePays[[#This Row],[Country_Names]])),1,0)</f>
        <v>0</v>
      </c>
      <c r="I423" s="30" t="str">
        <f>IF(J423&lt;&gt;"",INDEX(TablePays[Country_Names],J423),"")</f>
        <v/>
      </c>
      <c r="J423" s="30" t="str">
        <f t="array" ref="J423">IFERROR(MATCH(0,COUNTIF($I$217:I422,TablePays[Country_Names])+IF($H$218:$H$423=0,1,0),0),"")</f>
        <v/>
      </c>
    </row>
    <row r="425" spans="2:17" x14ac:dyDescent="0.2">
      <c r="P425" s="30"/>
      <c r="Q425" s="30"/>
    </row>
    <row r="426" spans="2:17" ht="15.75" customHeight="1" x14ac:dyDescent="0.2">
      <c r="P426"/>
      <c r="Q426" s="30"/>
    </row>
    <row r="427" spans="2:17" ht="15.75" customHeight="1" x14ac:dyDescent="0.2">
      <c r="P427" s="30"/>
      <c r="Q427" s="30"/>
    </row>
    <row r="428" spans="2:17" ht="15.75" customHeight="1" x14ac:dyDescent="0.2">
      <c r="P428" s="30"/>
      <c r="Q428" s="30"/>
    </row>
    <row r="429" spans="2:17" x14ac:dyDescent="0.2">
      <c r="P429" s="30"/>
      <c r="Q429" s="30"/>
    </row>
    <row r="430" spans="2:17" x14ac:dyDescent="0.2">
      <c r="N430" s="30"/>
      <c r="O430" s="30"/>
      <c r="P430" s="30"/>
      <c r="Q430" s="30"/>
    </row>
  </sheetData>
  <sheetProtection algorithmName="SHA-512" hashValue="jxc+A8HQFE6xAD7Vl2a15yy5CsKX4UDmfIN4GTtR4z4pDKMVuc/GbdODmwup38H0Wx8LJbx5+rUP11QxfuXiAw==" saltValue="SuWyeb2hvaVtmsMikqKwsA==" spinCount="100000" sheet="1" objects="1" scenarios="1" selectLockedCells="1"/>
  <mergeCells count="15">
    <mergeCell ref="C211:I211"/>
    <mergeCell ref="C209:I209"/>
    <mergeCell ref="C208:I208"/>
    <mergeCell ref="C207:I207"/>
    <mergeCell ref="C206:I206"/>
    <mergeCell ref="C210:I210"/>
    <mergeCell ref="Q208:W208"/>
    <mergeCell ref="Q209:W209"/>
    <mergeCell ref="Q210:W210"/>
    <mergeCell ref="Q211:W211"/>
    <mergeCell ref="K206:L206"/>
    <mergeCell ref="J208:P208"/>
    <mergeCell ref="J209:P209"/>
    <mergeCell ref="J210:P210"/>
    <mergeCell ref="J211:P211"/>
  </mergeCells>
  <phoneticPr fontId="24" type="noConversion"/>
  <dataValidations count="4">
    <dataValidation type="custom" allowBlank="1" showInputMessage="1" showErrorMessage="1" sqref="E24 H24 C34:J35" xr:uid="{2247F9AB-7074-4C2B-9505-2B13A2F5FCBC}">
      <formula1>_xlfn.ISFORMULA(C24)</formula1>
    </dataValidation>
    <dataValidation sqref="H215" xr:uid="{F5689773-9B2F-4A4E-A580-FACC2F6A4F8A}"/>
    <dataValidation type="custom" allowBlank="1" showInputMessage="1" showErrorMessage="1" sqref="G31:I31" xr:uid="{70844E56-2802-4F10-948E-486A21D67564}">
      <formula1>_xlfn.ISFORMULA(A31)</formula1>
    </dataValidation>
    <dataValidation type="custom" allowBlank="1" showInputMessage="1" showErrorMessage="1" sqref="C31:F31" xr:uid="{90266501-6F50-40A3-9678-22473C7B143E}">
      <formula1>_xlfn.ISFORMULA(XEA31)</formula1>
    </dataValidation>
  </dataValidations>
  <pageMargins left="0.7" right="0.7" top="0.75" bottom="0.75" header="0.3" footer="0.3"/>
  <pageSetup orientation="portrait" horizontalDpi="1200" verticalDpi="1200" r:id="rId1"/>
  <drawing r:id="rId2"/>
  <legacyDrawing r:id="rId3"/>
  <tableParts count="7">
    <tablePart r:id="rId4"/>
    <tablePart r:id="rId5"/>
    <tablePart r:id="rId6"/>
    <tablePart r:id="rId7"/>
    <tablePart r:id="rId8"/>
    <tablePart r:id="rId9"/>
    <tablePart r:id="rId10"/>
  </tablePar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tabColor theme="1" tint="0.34998626667073579"/>
  </sheetPr>
  <dimension ref="A1:AK202"/>
  <sheetViews>
    <sheetView showGridLines="0" topLeftCell="N186" zoomScaleNormal="100" workbookViewId="0"/>
  </sheetViews>
  <sheetFormatPr baseColWidth="10" defaultColWidth="8.6640625" defaultRowHeight="16" x14ac:dyDescent="0.2"/>
  <cols>
    <col min="1" max="1" width="2.5" customWidth="1"/>
    <col min="2" max="2" width="27.1640625" customWidth="1"/>
    <col min="3" max="3" width="18.6640625" customWidth="1"/>
    <col min="4" max="4" width="16.6640625" customWidth="1"/>
    <col min="5" max="5" width="13.33203125" customWidth="1"/>
    <col min="6" max="6" width="13.83203125" customWidth="1"/>
    <col min="7" max="7" width="14.33203125" customWidth="1"/>
    <col min="8" max="8" width="14.6640625" customWidth="1"/>
    <col min="9" max="9" width="106.1640625" customWidth="1"/>
    <col min="10" max="10" width="23.6640625" customWidth="1"/>
    <col min="11" max="11" width="23.83203125" customWidth="1"/>
    <col min="12" max="12" width="14.5" customWidth="1"/>
    <col min="13" max="13" width="20" customWidth="1"/>
    <col min="14" max="14" width="25.5" customWidth="1"/>
    <col min="15" max="16" width="16.6640625" style="17" customWidth="1"/>
    <col min="17" max="17" width="17.5" customWidth="1"/>
    <col min="18" max="18" width="16.1640625" customWidth="1"/>
    <col min="19" max="19" width="17.5" customWidth="1"/>
    <col min="20" max="20" width="32.6640625" customWidth="1"/>
    <col min="21" max="21" width="19" bestFit="1" customWidth="1"/>
    <col min="22" max="22" width="19.1640625" customWidth="1"/>
    <col min="23" max="23" width="10.1640625" customWidth="1"/>
    <col min="24" max="25" width="11.6640625" customWidth="1"/>
    <col min="26" max="26" width="22.6640625" customWidth="1"/>
    <col min="27" max="27" width="16.6640625" customWidth="1"/>
    <col min="28" max="28" width="11.1640625" customWidth="1"/>
    <col min="29" max="29" width="10.83203125" customWidth="1"/>
    <col min="30" max="30" width="9.6640625" customWidth="1"/>
    <col min="34" max="34" width="17" customWidth="1"/>
    <col min="35" max="35" width="29.83203125" bestFit="1" customWidth="1"/>
    <col min="36" max="36" width="10.83203125" bestFit="1" customWidth="1"/>
    <col min="37" max="37" width="8.6640625" bestFit="1" customWidth="1"/>
    <col min="38" max="38" width="9" bestFit="1" customWidth="1"/>
    <col min="39" max="39" width="10" bestFit="1" customWidth="1"/>
    <col min="40" max="40" width="12.6640625" bestFit="1" customWidth="1"/>
    <col min="41" max="41" width="9.83203125" bestFit="1" customWidth="1"/>
    <col min="42" max="42" width="7.1640625" bestFit="1" customWidth="1"/>
    <col min="43" max="43" width="9.6640625" bestFit="1" customWidth="1"/>
    <col min="44" max="44" width="26" bestFit="1" customWidth="1"/>
  </cols>
  <sheetData>
    <row r="1" spans="1:37" x14ac:dyDescent="0.2">
      <c r="J1" t="s">
        <v>341</v>
      </c>
      <c r="K1" s="341">
        <f>SUM(Quote!Q61,Quote!AI61*(QUOTE_Split_SoftwareHardware))</f>
        <v>0</v>
      </c>
      <c r="L1" s="350">
        <f>SUM(Quote!Q61,Quote!AI61*(QUOTE_Split_SoftwareHardware))</f>
        <v>0</v>
      </c>
      <c r="N1" s="446" t="s">
        <v>315</v>
      </c>
      <c r="O1" s="446" t="s">
        <v>315</v>
      </c>
      <c r="P1" s="446" t="s">
        <v>315</v>
      </c>
      <c r="Q1" s="446" t="s">
        <v>315</v>
      </c>
      <c r="R1" s="446" t="s">
        <v>315</v>
      </c>
      <c r="S1" s="446" t="s">
        <v>315</v>
      </c>
      <c r="T1" s="446" t="s">
        <v>315</v>
      </c>
      <c r="U1" s="447" t="s">
        <v>14</v>
      </c>
      <c r="V1" s="447" t="s">
        <v>14</v>
      </c>
      <c r="W1" s="447" t="s">
        <v>14</v>
      </c>
      <c r="X1" s="447" t="s">
        <v>14</v>
      </c>
      <c r="Y1" s="447" t="s">
        <v>14</v>
      </c>
      <c r="Z1" s="447" t="s">
        <v>14</v>
      </c>
      <c r="AA1" s="447" t="s">
        <v>14</v>
      </c>
      <c r="AB1" s="448" t="s">
        <v>254</v>
      </c>
      <c r="AC1" s="448" t="s">
        <v>254</v>
      </c>
      <c r="AD1" s="448" t="s">
        <v>254</v>
      </c>
      <c r="AE1" s="448" t="s">
        <v>254</v>
      </c>
      <c r="AF1" s="448" t="s">
        <v>254</v>
      </c>
      <c r="AG1" s="448" t="s">
        <v>254</v>
      </c>
      <c r="AH1" s="448" t="s">
        <v>254</v>
      </c>
    </row>
    <row r="2" spans="1:37" s="63" customFormat="1" ht="34" x14ac:dyDescent="0.2">
      <c r="B2" s="444" t="s">
        <v>24</v>
      </c>
      <c r="C2" s="444" t="s">
        <v>519</v>
      </c>
      <c r="D2" s="444" t="s">
        <v>32</v>
      </c>
      <c r="E2" s="444" t="s">
        <v>14</v>
      </c>
      <c r="F2" s="444" t="s">
        <v>254</v>
      </c>
      <c r="G2" s="444" t="s">
        <v>255</v>
      </c>
      <c r="H2" s="444" t="s">
        <v>256</v>
      </c>
      <c r="I2" s="444" t="s">
        <v>0</v>
      </c>
      <c r="J2" s="444" t="s">
        <v>518</v>
      </c>
      <c r="K2" s="444" t="s">
        <v>517</v>
      </c>
      <c r="L2" s="444" t="s">
        <v>516</v>
      </c>
      <c r="M2" s="444" t="s">
        <v>515</v>
      </c>
      <c r="N2" s="445" t="s">
        <v>408</v>
      </c>
      <c r="O2" s="444" t="s">
        <v>409</v>
      </c>
      <c r="P2" s="444" t="s">
        <v>410</v>
      </c>
      <c r="Q2" s="444" t="s">
        <v>411</v>
      </c>
      <c r="R2" s="444" t="s">
        <v>412</v>
      </c>
      <c r="S2" s="444" t="s">
        <v>413</v>
      </c>
      <c r="T2" s="63" t="s">
        <v>414</v>
      </c>
      <c r="U2" s="445" t="s">
        <v>416</v>
      </c>
      <c r="V2" s="444" t="s">
        <v>417</v>
      </c>
      <c r="W2" s="444" t="s">
        <v>418</v>
      </c>
      <c r="X2" s="444" t="s">
        <v>419</v>
      </c>
      <c r="Y2" s="444" t="s">
        <v>421</v>
      </c>
      <c r="Z2" s="444" t="s">
        <v>422</v>
      </c>
      <c r="AA2" s="63" t="s">
        <v>420</v>
      </c>
      <c r="AB2" s="445" t="s">
        <v>316</v>
      </c>
      <c r="AC2" s="444" t="s">
        <v>317</v>
      </c>
      <c r="AD2" s="444" t="s">
        <v>318</v>
      </c>
      <c r="AE2" s="444" t="s">
        <v>319</v>
      </c>
      <c r="AF2" s="444" t="s">
        <v>514</v>
      </c>
      <c r="AG2" s="444" t="s">
        <v>513</v>
      </c>
      <c r="AH2" s="444" t="s">
        <v>415</v>
      </c>
      <c r="AI2"/>
      <c r="AJ2"/>
      <c r="AK2"/>
    </row>
    <row r="3" spans="1:37" x14ac:dyDescent="0.2">
      <c r="A3" s="545"/>
      <c r="B3" s="61" t="s">
        <v>52</v>
      </c>
      <c r="C3" s="61">
        <f>DENDRO_N_System-1</f>
        <v>0</v>
      </c>
      <c r="D3" s="61">
        <f>IF(IFERROR(WinDENDRO!$H$14+0,0)&gt;0,DENDRO_N_System-1,0)</f>
        <v>0</v>
      </c>
      <c r="E3" s="61">
        <v>1</v>
      </c>
      <c r="F3" s="61"/>
      <c r="G3" s="61">
        <v>0</v>
      </c>
      <c r="H3" s="61">
        <v>0</v>
      </c>
      <c r="I3" s="61" t="str">
        <f>QCalc!I200 &amp; IF(Francais," Incluant:"," Including:") &amp; REPT(" ",0)</f>
        <v>WinDENDRO™ Reg 2025 Logiciel Avec Scanner Incluant:</v>
      </c>
      <c r="J3" s="61">
        <f>WinDENDRO!$I$14</f>
        <v>903149</v>
      </c>
      <c r="K3" s="61">
        <f>TableQCalcMain[[#This Row],[Extended_price]]</f>
        <v>0</v>
      </c>
      <c r="L3" s="61" t="str">
        <f>IF(OR(TableQCalcMain[[#This Row],[Real_Quantity]]=0,TableQCalcMain[[#This Row],[Extended_price]]=0),"",ROUND(TableQCalcMain[[#This Row],[Extended_price]]/TableQCalcMain[[#This Row],[Real_Quantity]],2))</f>
        <v/>
      </c>
      <c r="M3" s="713">
        <f>ROUND(
IF(Distributeurs_Rabais,
IFERROR(WinDENDRO!#REF! + WinDENDRO!#REF!,0),
WinDENDRO!H4 + WinDENDRO!H14)+0*K5,
2)</f>
        <v>0</v>
      </c>
      <c r="N3" s="72" t="str">
        <f>IF(TableQCalcMain[[#This Row],[RowNumOfShownItems_Unsplit]]&lt;&gt;"",INDEX(TableQCalcMain[Description],TableQCalcMain[[#This Row],[RowNumOfShownItems_Unsplit]]),"")</f>
        <v/>
      </c>
      <c r="O3" s="61" t="str">
        <f>IF(TableQCalcMain[[#This Row],[RowNumOfShownItems_Unsplit]]&lt;&gt;"",INDEX(TableQCalcMain[Harmonized_Code],TableQCalcMain[[#This Row],[RowNumOfShownItems_Unsplit]]),"")</f>
        <v/>
      </c>
      <c r="P3" s="61" t="str">
        <f>IF(TableQCalcMain[[#This Row],[RowNumOfShownItems_Unsplit]]="","",INDEX(TableQCalcMain[Detailed_Ext_Price],TableQCalcMain[[#This Row],[RowNumOfShownItems_Unsplit]]))</f>
        <v/>
      </c>
      <c r="Q3" s="61" t="str">
        <f>IF(TableQCalcMain[[#This Row],[RowNumOfShownItems_Unsplit]]="","",INDEX(TableQCalcMain[Real_Quantity],TableQCalcMain[[#This Row],[RowNumOfShownItems_Unsplit]]))</f>
        <v/>
      </c>
      <c r="R3" s="61" t="str">
        <f>IF(TableQCalcMain[[#This Row],[RowNumOfShownItems_Unsplit]]="","",
IF(IFERROR(
INDEX(TableQCalcMain[Unit_Price],TableQCalcMain[[#This Row],[RowNumOfShownItems_Unsplit]]),0)=0,"",
INDEX(TableQCalcMain[Unit_Price],TableQCalcMain[[#This Row],[RowNumOfShownItems_Unsplit]])
))</f>
        <v/>
      </c>
      <c r="S3" s="61" t="str">
        <f>IF(TableQCalcMain[[#This Row],[RowNumOfShownItems_Unsplit]]="","",
IF(IFERROR(
INDEX(TableQCalcMain[Extended_price],TableQCalcMain[[#This Row],[RowNumOfShownItems_Unsplit]]),0)=0,"",
INDEX(TableQCalcMain[Extended_price],TableQCalcMain[[#This Row],[RowNumOfShownItems_Unsplit]])
))</f>
        <v/>
      </c>
      <c r="T3" t="str">
        <f t="array" ref="T3">IFERROR(MATCH(0,COUNTIF(N2:$N$2,TableQCalcMain[Description])+IF(TableQCalcMain[ShowDesc?]=0,1,0),0),"")</f>
        <v/>
      </c>
      <c r="U3" s="61" t="str">
        <f>IF(TableQCalcMain[[#This Row],[RowNumOfShownItems_SOFT]]&lt;&gt;"",INDEX(TableQCalcMain[Description],TableQCalcMain[[#This Row],[RowNumOfShownItems_SOFT]]),"")</f>
        <v/>
      </c>
      <c r="V3" s="61" t="str">
        <f>IF(TableQCalcMain[[#This Row],[RowNumOfShownItems_SOFT]]&lt;&gt;"",INDEX(TableQCalcMain[Harmonized_Code],TableQCalcMain[[#This Row],[RowNumOfShownItems_SOFT]]),"")</f>
        <v/>
      </c>
      <c r="W3" s="61" t="str">
        <f>IF(TableQCalcMain[[#This Row],[RowNumOfShownItems_SOFT]]="","",INDEX(TableQCalcMain[Detailed_Ext_Price],TableQCalcMain[[#This Row],[RowNumOfShownItems_SOFT]]))</f>
        <v/>
      </c>
      <c r="X3" s="61" t="str">
        <f>IF(TableQCalcMain[[#This Row],[RowNumOfShownItems_SOFT]]="","",INDEX(TableQCalcMain[Real_Quantity],TableQCalcMain[[#This Row],[RowNumOfShownItems_SOFT]]))</f>
        <v/>
      </c>
      <c r="Y3" s="61" t="str">
        <f>IF(TableQCalcMain[[#This Row],[RowNumOfShownItems_SOFT]]="","",INDEX(TableQCalcMain[Unit_Price],TableQCalcMain[[#This Row],[RowNumOfShownItems_SOFT]]))</f>
        <v/>
      </c>
      <c r="Z3" s="61" t="str">
        <f>IF(TableQCalcMain[[#This Row],[RowNumOfShownItems_SOFT]]="","",INDEX(TableQCalcMain[Extended_price],TableQCalcMain[[#This Row],[RowNumOfShownItems_SOFT]]))</f>
        <v/>
      </c>
      <c r="AA3" t="str">
        <f t="array" ref="AA3">IFERROR(MATCH(0,COUNTIF(U2:$U$2,TableQCalcMain[Description])+IF(TableQCalcMain[ShowSoft]=0,1,0),0),"")</f>
        <v/>
      </c>
      <c r="AB3" s="61" t="str">
        <f>IF(TableQCalcMain[[#This Row],[RowNumOfShownItems_Hard]]&lt;&gt;"",INDEX(TableQCalcMain[Description],TableQCalcMain[[#This Row],[RowNumOfShownItems_Hard]]),"")</f>
        <v/>
      </c>
      <c r="AC3" s="61" t="str">
        <f>IF(TableQCalcMain[[#This Row],[RowNumOfShownItems_Hard]]&lt;&gt;"",INDEX(TableQCalcMain[Harmonized_Code],TableQCalcMain[[#This Row],[RowNumOfShownItems_Hard]]),"")</f>
        <v/>
      </c>
      <c r="AD3" s="61" t="str">
        <f>IF(TableQCalcMain[[#This Row],[RowNumOfShownItems_Hard]]="","",INDEX(TableQCalcMain[Detailed_Ext_Price],TableQCalcMain[[#This Row],[RowNumOfShownItems_Hard]]))</f>
        <v/>
      </c>
      <c r="AE3" s="61" t="str">
        <f>IF(TableQCalcMain[[#This Row],[RowNumOfShownItems_Hard]]="","",INDEX(TableQCalcMain[Real_Quantity],TableQCalcMain[[#This Row],[RowNumOfShownItems_Hard]]))</f>
        <v/>
      </c>
      <c r="AF3" s="61" t="str">
        <f>IF(TableQCalcMain[[#This Row],[RowNumOfShownItems_Hard]]="","",
IF(IFERROR(
INDEX(TableQCalcMain[Unit_Price],TableQCalcMain[[#This Row],[RowNumOfShownItems_Hard]]),0)=0,"",
INDEX(TableQCalcMain[Unit_Price],TableQCalcMain[[#This Row],[RowNumOfShownItems_Hard]])
))</f>
        <v/>
      </c>
      <c r="AG3" s="61" t="str">
        <f>IF(TableQCalcMain[[#This Row],[RowNumOfShownItems_Hard]]="","",
IF(IFERROR(
INDEX(TableQCalcMain[Extended_price],TableQCalcMain[[#This Row],[RowNumOfShownItems_Hard]]),0)=0,"",
INDEX(TableQCalcMain[Extended_price],TableQCalcMain[[#This Row],[RowNumOfShownItems_Hard]])
))</f>
        <v/>
      </c>
      <c r="AH3" s="61" t="str">
        <f t="array" ref="AH3">IFERROR(MATCH(0,COUNTIF(AB2:$AB$2,TableQCalcMain[Description])+IF(TableQCalcMain[ShowHard]=0,1,0),0),"")</f>
        <v/>
      </c>
    </row>
    <row r="4" spans="1:37" x14ac:dyDescent="0.2">
      <c r="A4" s="545"/>
      <c r="B4" s="546" t="s">
        <v>53</v>
      </c>
      <c r="C4" s="547">
        <f>IF(AND(NOT(QUOTE_Split_SoftwareHardware),N(D3)&gt;0),
IF(DENDRO_N_Software-1=0,0,DENDRO_N_Software-1),
DENDRO_N_Software-1)</f>
        <v>0</v>
      </c>
      <c r="D4" s="61">
        <f>TableQCalcMain[[#This Row],[Real_Quantity]]</f>
        <v>0</v>
      </c>
      <c r="E4" s="61">
        <v>1</v>
      </c>
      <c r="F4" s="61"/>
      <c r="G4" s="61">
        <f>N(TableQCalcMain[[#This Row],[ShowDesc?]])*TableQCalcMain[[#This Row],[Software]]</f>
        <v>0</v>
      </c>
      <c r="H4" s="61">
        <f>N(TableQCalcMain[[#This Row],[ShowDesc?]])*TableQCalcMain[[#This Row],[Hardware]]</f>
        <v>0</v>
      </c>
      <c r="I4" s="61" t="str">
        <f>IF(OR(DENDRO_N_System=1,QUOTE_Split_SoftwareHardware),"","   • ") &amp; SUBSTITUTE(LEFT(INDEX(DENDRO_SoftwareFullNames,DENDRO_IndexSoftware),FIND(" ",INDEX(DENDRO_SoftwareFullNames,DENDRO_IndexSoftware),FIND(" ",INDEX(DENDRO_SoftwareFullNames,DENDRO_IndexSoftware))+1)),"™",IF(OR(DENDRO_N_System=1,QUOTE_Split_SoftwareHardware),"™",""))&amp;
DENDRO_YearMostRecent &amp; " " &amp; "&amp;" &amp; " XLSTEM" &amp;
IF(Francais," Logiciels"," Software")&amp; IF(QUOTE_Split_SoftwareHardware,IF(QUOTE_InternetDownload,IF(Francais, ", Téléchargement Internet", ", Internet download"),IF(Francais, ", Envoyé par transporteur", ", Shipped by courier")),IF(Francais," sur media USB (manuels PDF &amp; imprimés)"," on USB drive (PDF &amp; printed manuals)")) &amp;
IF(AND(QUOTE_SameClient=TRUE,DENDRO_N_Software+DENDRO_N_AlreadyHaveSoftware&gt;3),IF(Francais," (incl. rabais multi licenses"," (incl. multi licenses discount")&amp;
" "&amp;TEXT(ROUND((INDEX(DENDRO_SoftwarePriceList,DENDRO_IndexSoftware))*((DENDRO_N_Software-1)-IF(DENDRO_N_Software-1=0,0,SUM(MMULT(
  _xlfn.MUNIT(
   DENDRO_N_Software-1),
    INDEX(TableLists[Column10],DENDRO_N_AlreadyHaveSoftware-1+2):
    INDEX(TableLists[Column10],(DENDRO_N_AlreadyHaveSoftware-1+1)+(DENDRO_N_Software-1))
))))*(1-RebateSoftware*Distributeurs_Rabais),0),"0.00")&amp;")","")</f>
        <v>WinDENDRO™ Reg 2025 &amp; XLSTEM Logiciels sur media USB (manuels PDF &amp; imprimés)</v>
      </c>
      <c r="J4" s="61">
        <f>IF(AND(DENDRO_N_System&gt;1,NOT(QUOTE_Split_SoftwareHardware)),
"",WinDENDRO!$I$4)</f>
        <v>852349</v>
      </c>
      <c r="K4" s="61">
        <f>ROUND((INDEX(DENDRO_SoftwarePriceList,DENDRO_IndexSoftware))*
IF(DENDRO_N_Software-1=0,0,SUM(MMULT(
  _xlfn.MUNIT(
   DENDRO_N_Software-1),
    INDEX(TableLists[Column10],DENDRO_N_AlreadyHaveSoftware-1+2):
    INDEX(TableLists[Column10],(DENDRO_N_AlreadyHaveSoftware-1+1)+(DENDRO_N_Software-1))
)))*(1-RebateSoftware*Distributeurs_Rabais)
-IF(QUOTE_Split_SoftwareHardware,PrixUSBKey*(DENDRO_N_Software-1),0),0)</f>
        <v>0</v>
      </c>
      <c r="L4" s="61" t="str">
        <f>IF(OR(TableQCalcMain[[#This Row],[Real_Quantity]]=0,TableQCalcMain[[#This Row],[Extended_price]]=0),"",ROUND(TableQCalcMain[[#This Row],[Extended_price]]/TableQCalcMain[[#This Row],[Real_Quantity]],2))</f>
        <v/>
      </c>
      <c r="M4" s="61">
        <f>ROUND(
IF(DENDRO_N_System&gt;1,
IF(NOT(QUOTE_Split_SoftwareHardware),0,TableQCalcMain[[#This Row],[Detailed_Ext_Price]]),
(INDEX(DENDRO_SoftwarePriceList,DENDRO_IndexSoftware))*
IF(DENDRO_N_Software-1=0,0,SUM(MMULT(
  _xlfn.MUNIT(
   DENDRO_N_Software-1),
    INDEX(TableLists[Column10],DENDRO_N_AlreadyHaveSoftware-1+2):
    INDEX(TableLists[Column10],(DENDRO_N_AlreadyHaveSoftware-1+1)+(DENDRO_N_Software-1))
))
)*(1-RebateSoftware*Distributeurs_Rabais)
-IF(QUOTE_Split_SoftwareHardware,PrixUSBKey*(DENDRO_N_Software-1),0)),0)</f>
        <v>0</v>
      </c>
      <c r="N4" s="72" t="str">
        <f>IF(TableQCalcMain[[#This Row],[RowNumOfShownItems_Unsplit]]&lt;&gt;"",INDEX(TableQCalcMain[Description],TableQCalcMain[[#This Row],[RowNumOfShownItems_Unsplit]]),"")</f>
        <v/>
      </c>
      <c r="O4" s="61" t="str">
        <f>IF(TableQCalcMain[[#This Row],[RowNumOfShownItems_Unsplit]]&lt;&gt;"",INDEX(TableQCalcMain[Harmonized_Code],TableQCalcMain[[#This Row],[RowNumOfShownItems_Unsplit]]),"")</f>
        <v/>
      </c>
      <c r="P4" s="61" t="str">
        <f>IF(TableQCalcMain[[#This Row],[RowNumOfShownItems_Unsplit]]="","",INDEX(TableQCalcMain[Detailed_Ext_Price],TableQCalcMain[[#This Row],[RowNumOfShownItems_Unsplit]]))</f>
        <v/>
      </c>
      <c r="Q4" s="61" t="str">
        <f>IF(TableQCalcMain[[#This Row],[RowNumOfShownItems_Unsplit]]="","",INDEX(TableQCalcMain[Real_Quantity],TableQCalcMain[[#This Row],[RowNumOfShownItems_Unsplit]]))</f>
        <v/>
      </c>
      <c r="R4" s="61" t="str">
        <f>IF(TableQCalcMain[[#This Row],[RowNumOfShownItems_Unsplit]]="","",
IF(IFERROR(
INDEX(TableQCalcMain[Unit_Price],TableQCalcMain[[#This Row],[RowNumOfShownItems_Unsplit]]),0)=0,"",
INDEX(TableQCalcMain[Unit_Price],TableQCalcMain[[#This Row],[RowNumOfShownItems_Unsplit]])
))</f>
        <v/>
      </c>
      <c r="S4" s="61" t="str">
        <f>IF(TableQCalcMain[[#This Row],[RowNumOfShownItems_Unsplit]]="","",
IF(IFERROR(
INDEX(TableQCalcMain[Extended_price],TableQCalcMain[[#This Row],[RowNumOfShownItems_Unsplit]]),0)=0,"",
INDEX(TableQCalcMain[Extended_price],TableQCalcMain[[#This Row],[RowNumOfShownItems_Unsplit]])
))</f>
        <v/>
      </c>
      <c r="T4" t="str">
        <f t="array" ref="T4">IFERROR(MATCH(0,COUNTIF(N$2:$N3,TableQCalcMain[Description])+IF(TableQCalcMain[ShowDesc?]=0,1,0),0),"")</f>
        <v/>
      </c>
      <c r="U4" s="61" t="str">
        <f>IF(TableQCalcMain[[#This Row],[RowNumOfShownItems_SOFT]]&lt;&gt;"",INDEX(TableQCalcMain[Description],TableQCalcMain[[#This Row],[RowNumOfShownItems_SOFT]]),"")</f>
        <v/>
      </c>
      <c r="V4" s="61" t="str">
        <f>IF(TableQCalcMain[[#This Row],[RowNumOfShownItems_SOFT]]&lt;&gt;"",INDEX(TableQCalcMain[Harmonized_Code],TableQCalcMain[[#This Row],[RowNumOfShownItems_SOFT]]),"")</f>
        <v/>
      </c>
      <c r="W4" s="61" t="str">
        <f>IF(TableQCalcMain[[#This Row],[RowNumOfShownItems_SOFT]]="","",INDEX(TableQCalcMain[Detailed_Ext_Price],TableQCalcMain[[#This Row],[RowNumOfShownItems_SOFT]]))</f>
        <v/>
      </c>
      <c r="X4" s="61" t="str">
        <f>IF(TableQCalcMain[[#This Row],[RowNumOfShownItems_SOFT]]="","",INDEX(TableQCalcMain[Real_Quantity],TableQCalcMain[[#This Row],[RowNumOfShownItems_SOFT]]))</f>
        <v/>
      </c>
      <c r="Y4" s="61" t="str">
        <f>IF(TableQCalcMain[[#This Row],[RowNumOfShownItems_SOFT]]="","",INDEX(TableQCalcMain[Unit_Price],TableQCalcMain[[#This Row],[RowNumOfShownItems_SOFT]]))</f>
        <v/>
      </c>
      <c r="Z4" s="61" t="str">
        <f>IF(TableQCalcMain[[#This Row],[RowNumOfShownItems_SOFT]]="","",INDEX(TableQCalcMain[Extended_price],TableQCalcMain[[#This Row],[RowNumOfShownItems_SOFT]]))</f>
        <v/>
      </c>
      <c r="AA4" t="str">
        <f t="array" ref="AA4">IFERROR(MATCH(0,COUNTIF(U$2:$U3,TableQCalcMain[Description])+IF(TableQCalcMain[ShowSoft]=0,1,0),0),"")</f>
        <v/>
      </c>
      <c r="AB4" s="61" t="str">
        <f>IF(TableQCalcMain[[#This Row],[RowNumOfShownItems_Hard]]&lt;&gt;"",INDEX(TableQCalcMain[Description],TableQCalcMain[[#This Row],[RowNumOfShownItems_Hard]]),"")</f>
        <v/>
      </c>
      <c r="AC4" s="61" t="str">
        <f>IF(TableQCalcMain[[#This Row],[RowNumOfShownItems_Hard]]&lt;&gt;"",INDEX(TableQCalcMain[Harmonized_Code],TableQCalcMain[[#This Row],[RowNumOfShownItems_Hard]]),"")</f>
        <v/>
      </c>
      <c r="AD4" s="61" t="str">
        <f>IF(TableQCalcMain[[#This Row],[RowNumOfShownItems_Hard]]="","",INDEX(TableQCalcMain[Detailed_Ext_Price],TableQCalcMain[[#This Row],[RowNumOfShownItems_Hard]]))</f>
        <v/>
      </c>
      <c r="AE4" s="61" t="str">
        <f>IF(TableQCalcMain[[#This Row],[RowNumOfShownItems_Hard]]="","",INDEX(TableQCalcMain[Real_Quantity],TableQCalcMain[[#This Row],[RowNumOfShownItems_Hard]]))</f>
        <v/>
      </c>
      <c r="AF4" s="61" t="str">
        <f>IF(TableQCalcMain[[#This Row],[RowNumOfShownItems_Hard]]="","",
IF(IFERROR(
INDEX(TableQCalcMain[Unit_Price],TableQCalcMain[[#This Row],[RowNumOfShownItems_Hard]]),0)=0,"",
INDEX(TableQCalcMain[Unit_Price],TableQCalcMain[[#This Row],[RowNumOfShownItems_Hard]])
))</f>
        <v/>
      </c>
      <c r="AG4" s="61" t="str">
        <f>IF(TableQCalcMain[[#This Row],[RowNumOfShownItems_Hard]]="","",
IF(IFERROR(
INDEX(TableQCalcMain[Extended_price],TableQCalcMain[[#This Row],[RowNumOfShownItems_Hard]]),0)=0,"",
INDEX(TableQCalcMain[Extended_price],TableQCalcMain[[#This Row],[RowNumOfShownItems_Hard]])
))</f>
        <v/>
      </c>
      <c r="AH4" s="61" t="str">
        <f t="array" ref="AH4">IFERROR(MATCH(0,COUNTIF(AB$2:$AB3,TableQCalcMain[Description])+IF(TableQCalcMain[ShowHard]=0,1,0),0),"")</f>
        <v/>
      </c>
    </row>
    <row r="5" spans="1:37" x14ac:dyDescent="0.2">
      <c r="A5" s="545"/>
      <c r="B5" s="565" t="s">
        <v>742</v>
      </c>
      <c r="C5" s="567" t="str">
        <f>""</f>
        <v/>
      </c>
      <c r="D5" s="567">
        <f>IF(AND(
C3&lt;&gt;0,C4=0,
NOT(QUOTE_Split_SoftwareHardware),
IFERROR(QCalc!$F$200,0)&gt;0
),C13,0)+N("Si il y a un système sans software (update only) et que facture est pas split, afficher UpgradeUpdate en tant que Software dans système")</f>
        <v>0</v>
      </c>
      <c r="E5" s="61"/>
      <c r="F5" s="61"/>
      <c r="G5" s="61"/>
      <c r="H5" s="61"/>
      <c r="I5" s="565" t="str">
        <f>"   • " &amp; I13</f>
        <v xml:space="preserve">   • Mise à jour de WinDENDRO™ Reg 2019 à WinDENDRO™ Reg 2025 &amp; XLSTEM sur media USB (manuels PDF &amp; imprimés)</v>
      </c>
      <c r="J5" s="565">
        <f>J13</f>
        <v>852349</v>
      </c>
      <c r="K5" s="565">
        <f>IF(TableQCalcMain[[#This Row],[ShowDesc?]]=0,0,M13)</f>
        <v>0</v>
      </c>
      <c r="L5" s="61"/>
      <c r="M5" s="61"/>
      <c r="N5" s="72" t="str">
        <f>IF(TableQCalcMain[[#This Row],[RowNumOfShownItems_Unsplit]]&lt;&gt;"",INDEX(TableQCalcMain[Description],TableQCalcMain[[#This Row],[RowNumOfShownItems_Unsplit]]),"")</f>
        <v/>
      </c>
      <c r="O5" s="61" t="str">
        <f>IF(TableQCalcMain[[#This Row],[RowNumOfShownItems_Unsplit]]&lt;&gt;"",INDEX(TableQCalcMain[Harmonized_Code],TableQCalcMain[[#This Row],[RowNumOfShownItems_Unsplit]]),"")</f>
        <v/>
      </c>
      <c r="P5" s="61" t="str">
        <f>IF(TableQCalcMain[[#This Row],[RowNumOfShownItems_Unsplit]]="","",INDEX(TableQCalcMain[Detailed_Ext_Price],TableQCalcMain[[#This Row],[RowNumOfShownItems_Unsplit]]))</f>
        <v/>
      </c>
      <c r="Q5" s="61" t="str">
        <f>IF(TableQCalcMain[[#This Row],[RowNumOfShownItems_Unsplit]]="","",INDEX(TableQCalcMain[Real_Quantity],TableQCalcMain[[#This Row],[RowNumOfShownItems_Unsplit]]))</f>
        <v/>
      </c>
      <c r="R5" s="61" t="str">
        <f>IF(TableQCalcMain[[#This Row],[RowNumOfShownItems_Unsplit]]="","",
IF(IFERROR(
INDEX(TableQCalcMain[Unit_Price],TableQCalcMain[[#This Row],[RowNumOfShownItems_Unsplit]]),0)=0,"",
INDEX(TableQCalcMain[Unit_Price],TableQCalcMain[[#This Row],[RowNumOfShownItems_Unsplit]])
))</f>
        <v/>
      </c>
      <c r="S5" s="61" t="str">
        <f>IF(TableQCalcMain[[#This Row],[RowNumOfShownItems_Unsplit]]="","",
IF(IFERROR(
INDEX(TableQCalcMain[Extended_price],TableQCalcMain[[#This Row],[RowNumOfShownItems_Unsplit]]),0)=0,"",
INDEX(TableQCalcMain[Extended_price],TableQCalcMain[[#This Row],[RowNumOfShownItems_Unsplit]])
))</f>
        <v/>
      </c>
      <c r="T5" t="str">
        <f t="array" ref="T5">IFERROR(MATCH(0,COUNTIF(N$2:$N4,TableQCalcMain[Description])+IF(TableQCalcMain[ShowDesc?]=0,1,0),0),"")</f>
        <v/>
      </c>
      <c r="U5" s="61" t="str">
        <f>IF(TableQCalcMain[[#This Row],[RowNumOfShownItems_SOFT]]&lt;&gt;"",INDEX(TableQCalcMain[Description],TableQCalcMain[[#This Row],[RowNumOfShownItems_SOFT]]),"")</f>
        <v/>
      </c>
      <c r="V5" s="61" t="str">
        <f>IF(TableQCalcMain[[#This Row],[RowNumOfShownItems_SOFT]]&lt;&gt;"",INDEX(TableQCalcMain[Harmonized_Code],TableQCalcMain[[#This Row],[RowNumOfShownItems_SOFT]]),"")</f>
        <v/>
      </c>
      <c r="W5" s="61" t="str">
        <f>IF(TableQCalcMain[[#This Row],[RowNumOfShownItems_SOFT]]="","",INDEX(TableQCalcMain[Detailed_Ext_Price],TableQCalcMain[[#This Row],[RowNumOfShownItems_SOFT]]))</f>
        <v/>
      </c>
      <c r="X5" s="61" t="str">
        <f>IF(TableQCalcMain[[#This Row],[RowNumOfShownItems_SOFT]]="","",INDEX(TableQCalcMain[Real_Quantity],TableQCalcMain[[#This Row],[RowNumOfShownItems_SOFT]]))</f>
        <v/>
      </c>
      <c r="Y5" s="61" t="str">
        <f>IF(TableQCalcMain[[#This Row],[RowNumOfShownItems_SOFT]]="","",INDEX(TableQCalcMain[Unit_Price],TableQCalcMain[[#This Row],[RowNumOfShownItems_SOFT]]))</f>
        <v/>
      </c>
      <c r="Z5" s="61" t="str">
        <f>IF(TableQCalcMain[[#This Row],[RowNumOfShownItems_SOFT]]="","",INDEX(TableQCalcMain[Extended_price],TableQCalcMain[[#This Row],[RowNumOfShownItems_SOFT]]))</f>
        <v/>
      </c>
      <c r="AA5" t="str">
        <f t="array" ref="AA5">IFERROR(MATCH(0,COUNTIF(U$2:$U4,TableQCalcMain[Description])+IF(TableQCalcMain[ShowSoft]=0,1,0),0),"")</f>
        <v/>
      </c>
      <c r="AB5" s="61" t="str">
        <f>IF(TableQCalcMain[[#This Row],[RowNumOfShownItems_Hard]]&lt;&gt;"",INDEX(TableQCalcMain[Description],TableQCalcMain[[#This Row],[RowNumOfShownItems_Hard]]),"")</f>
        <v/>
      </c>
      <c r="AC5" s="61" t="str">
        <f>IF(TableQCalcMain[[#This Row],[RowNumOfShownItems_Hard]]&lt;&gt;"",INDEX(TableQCalcMain[Harmonized_Code],TableQCalcMain[[#This Row],[RowNumOfShownItems_Hard]]),"")</f>
        <v/>
      </c>
      <c r="AD5" s="61" t="str">
        <f>IF(TableQCalcMain[[#This Row],[RowNumOfShownItems_Hard]]="","",INDEX(TableQCalcMain[Detailed_Ext_Price],TableQCalcMain[[#This Row],[RowNumOfShownItems_Hard]]))</f>
        <v/>
      </c>
      <c r="AE5" s="61" t="str">
        <f>IF(TableQCalcMain[[#This Row],[RowNumOfShownItems_Hard]]="","",INDEX(TableQCalcMain[Real_Quantity],TableQCalcMain[[#This Row],[RowNumOfShownItems_Hard]]))</f>
        <v/>
      </c>
      <c r="AF5" s="61" t="str">
        <f>IF(TableQCalcMain[[#This Row],[RowNumOfShownItems_Hard]]="","",
IF(IFERROR(
INDEX(TableQCalcMain[Unit_Price],TableQCalcMain[[#This Row],[RowNumOfShownItems_Hard]]),0)=0,"",
INDEX(TableQCalcMain[Unit_Price],TableQCalcMain[[#This Row],[RowNumOfShownItems_Hard]])
))</f>
        <v/>
      </c>
      <c r="AG5" s="61" t="str">
        <f>IF(TableQCalcMain[[#This Row],[RowNumOfShownItems_Hard]]="","",
IF(IFERROR(
INDEX(TableQCalcMain[Extended_price],TableQCalcMain[[#This Row],[RowNumOfShownItems_Hard]]),0)=0,"",
INDEX(TableQCalcMain[Extended_price],TableQCalcMain[[#This Row],[RowNumOfShownItems_Hard]])
))</f>
        <v/>
      </c>
      <c r="AH5" s="61" t="str">
        <f t="array" ref="AH5">IFERROR(MATCH(0,COUNTIF(AB$2:$AB4,TableQCalcMain[Description])+IF(TableQCalcMain[ShowHard]=0,1,0),0),"")</f>
        <v/>
      </c>
    </row>
    <row r="6" spans="1:37" x14ac:dyDescent="0.2">
      <c r="A6" s="545"/>
      <c r="B6" s="470" t="s">
        <v>329</v>
      </c>
      <c r="C6" s="61" t="str">
        <f>""</f>
        <v/>
      </c>
      <c r="D6" s="61">
        <f>IF(QUOTE_Split_SoftwareHardware,N($C$4),0)</f>
        <v>0</v>
      </c>
      <c r="E6" s="61">
        <v>1</v>
      </c>
      <c r="F6" s="61"/>
      <c r="G6" s="61">
        <f>TableQCalcMain[[#This Row],[ShowDesc?]]*TableQCalcMain[[#This Row],[Software]]</f>
        <v>0</v>
      </c>
      <c r="H6" s="61"/>
      <c r="I6" s="61" t="str">
        <f>"         • " &amp; IF(AND(QUOTE_Split_SoftwareHardware,QUOTE_InternetDownload),
IF(Francais,"Logiciels et documents d'instructions (fichiers PDF)","Software &amp; Instructions documents (PDF files)"),
IF(Francais,"Logiciel et documents d'instructions (" &amp; IF(QUOTE_InternetDownload,"sur clé USB","PDF") &amp; " et imprimés)","Software &amp; Instructions documents (" &amp; IF(QUOTE_InternetDownload,"on USB Key","PDF") &amp; " &amp; printed)"))
&amp;REPT(" ",0)</f>
        <v xml:space="preserve">         • Logiciel et documents d'instructions (PDF et imprimés)</v>
      </c>
      <c r="J6" s="61" t="str">
        <f>""</f>
        <v/>
      </c>
      <c r="K6" s="61" t="str">
        <f>""</f>
        <v/>
      </c>
      <c r="L6" s="61" t="str">
        <f>""</f>
        <v/>
      </c>
      <c r="M6" s="61" t="str">
        <f>""</f>
        <v/>
      </c>
      <c r="N6" s="72" t="str">
        <f>IF(TableQCalcMain[[#This Row],[RowNumOfShownItems_Unsplit]]&lt;&gt;"",INDEX(TableQCalcMain[Description],TableQCalcMain[[#This Row],[RowNumOfShownItems_Unsplit]]),"")</f>
        <v/>
      </c>
      <c r="O6" s="61" t="str">
        <f>IF(TableQCalcMain[[#This Row],[RowNumOfShownItems_Unsplit]]&lt;&gt;"",INDEX(TableQCalcMain[Harmonized_Code],TableQCalcMain[[#This Row],[RowNumOfShownItems_Unsplit]]),"")</f>
        <v/>
      </c>
      <c r="P6" s="61" t="str">
        <f>IF(TableQCalcMain[[#This Row],[RowNumOfShownItems_Unsplit]]="","",INDEX(TableQCalcMain[Detailed_Ext_Price],TableQCalcMain[[#This Row],[RowNumOfShownItems_Unsplit]]))</f>
        <v/>
      </c>
      <c r="Q6" s="61" t="str">
        <f>IF(TableQCalcMain[[#This Row],[RowNumOfShownItems_Unsplit]]="","",INDEX(TableQCalcMain[Real_Quantity],TableQCalcMain[[#This Row],[RowNumOfShownItems_Unsplit]]))</f>
        <v/>
      </c>
      <c r="R6" s="61" t="str">
        <f>IF(TableQCalcMain[[#This Row],[RowNumOfShownItems_Unsplit]]="","",
IF(IFERROR(
INDEX(TableQCalcMain[Unit_Price],TableQCalcMain[[#This Row],[RowNumOfShownItems_Unsplit]]),0)=0,"",
INDEX(TableQCalcMain[Unit_Price],TableQCalcMain[[#This Row],[RowNumOfShownItems_Unsplit]])
))</f>
        <v/>
      </c>
      <c r="S6" s="61" t="str">
        <f>IF(TableQCalcMain[[#This Row],[RowNumOfShownItems_Unsplit]]="","",
IF(IFERROR(
INDEX(TableQCalcMain[Extended_price],TableQCalcMain[[#This Row],[RowNumOfShownItems_Unsplit]]),0)=0,"",
INDEX(TableQCalcMain[Extended_price],TableQCalcMain[[#This Row],[RowNumOfShownItems_Unsplit]])
))</f>
        <v/>
      </c>
      <c r="T6" t="str">
        <f t="array" ref="T6">IFERROR(MATCH(0,COUNTIF(N$2:$N5,TableQCalcMain[Description])+IF(TableQCalcMain[ShowDesc?]=0,1,0),0),"")</f>
        <v/>
      </c>
      <c r="U6" s="61" t="str">
        <f>IF(TableQCalcMain[[#This Row],[RowNumOfShownItems_SOFT]]&lt;&gt;"",INDEX(TableQCalcMain[Description],TableQCalcMain[[#This Row],[RowNumOfShownItems_SOFT]]),"")</f>
        <v/>
      </c>
      <c r="V6" s="61" t="str">
        <f>IF(TableQCalcMain[[#This Row],[RowNumOfShownItems_SOFT]]&lt;&gt;"",INDEX(TableQCalcMain[Harmonized_Code],TableQCalcMain[[#This Row],[RowNumOfShownItems_SOFT]]),"")</f>
        <v/>
      </c>
      <c r="W6" s="61" t="str">
        <f>IF(TableQCalcMain[[#This Row],[RowNumOfShownItems_SOFT]]="","",INDEX(TableQCalcMain[Detailed_Ext_Price],TableQCalcMain[[#This Row],[RowNumOfShownItems_SOFT]]))</f>
        <v/>
      </c>
      <c r="X6" s="61" t="str">
        <f>IF(TableQCalcMain[[#This Row],[RowNumOfShownItems_SOFT]]="","",INDEX(TableQCalcMain[Real_Quantity],TableQCalcMain[[#This Row],[RowNumOfShownItems_SOFT]]))</f>
        <v/>
      </c>
      <c r="Y6" s="61" t="str">
        <f>IF(TableQCalcMain[[#This Row],[RowNumOfShownItems_SOFT]]="","",INDEX(TableQCalcMain[Unit_Price],TableQCalcMain[[#This Row],[RowNumOfShownItems_SOFT]]))</f>
        <v/>
      </c>
      <c r="Z6" s="61" t="str">
        <f>IF(TableQCalcMain[[#This Row],[RowNumOfShownItems_SOFT]]="","",INDEX(TableQCalcMain[Extended_price],TableQCalcMain[[#This Row],[RowNumOfShownItems_SOFT]]))</f>
        <v/>
      </c>
      <c r="AA6" t="str">
        <f t="array" ref="AA6">IFERROR(MATCH(0,COUNTIF(U$2:$U5,TableQCalcMain[Description])+IF(TableQCalcMain[ShowSoft]=0,1,0),0),"")</f>
        <v/>
      </c>
      <c r="AB6" s="61" t="str">
        <f>IF(TableQCalcMain[[#This Row],[RowNumOfShownItems_Hard]]&lt;&gt;"",INDEX(TableQCalcMain[Description],TableQCalcMain[[#This Row],[RowNumOfShownItems_Hard]]),"")</f>
        <v/>
      </c>
      <c r="AC6" s="61" t="str">
        <f>IF(TableQCalcMain[[#This Row],[RowNumOfShownItems_Hard]]&lt;&gt;"",INDEX(TableQCalcMain[Harmonized_Code],TableQCalcMain[[#This Row],[RowNumOfShownItems_Hard]]),"")</f>
        <v/>
      </c>
      <c r="AD6" s="61" t="str">
        <f>IF(TableQCalcMain[[#This Row],[RowNumOfShownItems_Hard]]="","",INDEX(TableQCalcMain[Detailed_Ext_Price],TableQCalcMain[[#This Row],[RowNumOfShownItems_Hard]]))</f>
        <v/>
      </c>
      <c r="AE6" s="61" t="str">
        <f>IF(TableQCalcMain[[#This Row],[RowNumOfShownItems_Hard]]="","",INDEX(TableQCalcMain[Real_Quantity],TableQCalcMain[[#This Row],[RowNumOfShownItems_Hard]]))</f>
        <v/>
      </c>
      <c r="AF6" s="61" t="str">
        <f>IF(TableQCalcMain[[#This Row],[RowNumOfShownItems_Hard]]="","",
IF(IFERROR(
INDEX(TableQCalcMain[Unit_Price],TableQCalcMain[[#This Row],[RowNumOfShownItems_Hard]]),0)=0,"",
INDEX(TableQCalcMain[Unit_Price],TableQCalcMain[[#This Row],[RowNumOfShownItems_Hard]])
))</f>
        <v/>
      </c>
      <c r="AG6" s="61" t="str">
        <f>IF(TableQCalcMain[[#This Row],[RowNumOfShownItems_Hard]]="","",
IF(IFERROR(
INDEX(TableQCalcMain[Extended_price],TableQCalcMain[[#This Row],[RowNumOfShownItems_Hard]]),0)=0,"",
INDEX(TableQCalcMain[Extended_price],TableQCalcMain[[#This Row],[RowNumOfShownItems_Hard]])
))</f>
        <v/>
      </c>
      <c r="AH6" s="61" t="str">
        <f t="array" ref="AH6">IFERROR(MATCH(0,COUNTIF(AB$2:$AB5,TableQCalcMain[Description])+IF(TableQCalcMain[ShowHard]=0,1,0),0),"")</f>
        <v/>
      </c>
    </row>
    <row r="7" spans="1:37" x14ac:dyDescent="0.2">
      <c r="A7" s="545"/>
      <c r="B7" s="61" t="s">
        <v>54</v>
      </c>
      <c r="C7" s="61">
        <f>DENDRO_OptionXL*(DENDRO_N_Software-1)</f>
        <v>0</v>
      </c>
      <c r="D7" s="61">
        <f>0*DENDRO_OptionXL*(DENDRO_N_Software-1)</f>
        <v>0</v>
      </c>
      <c r="E7" s="61">
        <v>1</v>
      </c>
      <c r="F7" s="61"/>
      <c r="G7" s="61">
        <f>TableQCalcMain[[#This Row],[ShowDesc?]]*TableQCalcMain[[#This Row],[Software]]</f>
        <v>0</v>
      </c>
      <c r="H7" s="61">
        <f>TableQCalcMain[[#This Row],[ShowDesc?]]*TableQCalcMain[[#This Row],[Hardware]]</f>
        <v>0</v>
      </c>
      <c r="I7" s="61" t="str">
        <f>IF(DENDRO_N_System=1,"","   • ")&amp;IF(Francais,"XLSTEM Logiciel d'analyse de tige","XLSTEM Software for Stem Analysis")</f>
        <v>XLSTEM Logiciel d'analyse de tige</v>
      </c>
      <c r="J7" s="61" t="str">
        <f>""</f>
        <v/>
      </c>
      <c r="K7" s="61" t="s">
        <v>162</v>
      </c>
      <c r="L7" s="61" t="str">
        <f>""</f>
        <v/>
      </c>
      <c r="M7" s="61" t="str">
        <f>""</f>
        <v/>
      </c>
      <c r="N7" s="72" t="str">
        <f>IF(TableQCalcMain[[#This Row],[RowNumOfShownItems_Unsplit]]&lt;&gt;"",INDEX(TableQCalcMain[Description],TableQCalcMain[[#This Row],[RowNumOfShownItems_Unsplit]]),"")</f>
        <v/>
      </c>
      <c r="O7" s="61" t="str">
        <f>IF(TableQCalcMain[[#This Row],[RowNumOfShownItems_Unsplit]]&lt;&gt;"",INDEX(TableQCalcMain[Harmonized_Code],TableQCalcMain[[#This Row],[RowNumOfShownItems_Unsplit]]),"")</f>
        <v/>
      </c>
      <c r="P7" s="61" t="str">
        <f>IF(TableQCalcMain[[#This Row],[RowNumOfShownItems_Unsplit]]="","",INDEX(TableQCalcMain[Detailed_Ext_Price],TableQCalcMain[[#This Row],[RowNumOfShownItems_Unsplit]]))</f>
        <v/>
      </c>
      <c r="Q7" s="61" t="str">
        <f>IF(TableQCalcMain[[#This Row],[RowNumOfShownItems_Unsplit]]="","",INDEX(TableQCalcMain[Real_Quantity],TableQCalcMain[[#This Row],[RowNumOfShownItems_Unsplit]]))</f>
        <v/>
      </c>
      <c r="R7" s="61" t="str">
        <f>IF(TableQCalcMain[[#This Row],[RowNumOfShownItems_Unsplit]]="","",
IF(IFERROR(
INDEX(TableQCalcMain[Unit_Price],TableQCalcMain[[#This Row],[RowNumOfShownItems_Unsplit]]),0)=0,"",
INDEX(TableQCalcMain[Unit_Price],TableQCalcMain[[#This Row],[RowNumOfShownItems_Unsplit]])
))</f>
        <v/>
      </c>
      <c r="S7" s="61" t="str">
        <f>IF(TableQCalcMain[[#This Row],[RowNumOfShownItems_Unsplit]]="","",
IF(IFERROR(
INDEX(TableQCalcMain[Extended_price],TableQCalcMain[[#This Row],[RowNumOfShownItems_Unsplit]]),0)=0,"",
INDEX(TableQCalcMain[Extended_price],TableQCalcMain[[#This Row],[RowNumOfShownItems_Unsplit]])
))</f>
        <v/>
      </c>
      <c r="T7" t="str">
        <f t="array" ref="T7">IFERROR(MATCH(0,COUNTIF(N$2:$N6,TableQCalcMain[Description])+IF(TableQCalcMain[ShowDesc?]=0,1,0),0),"")</f>
        <v/>
      </c>
      <c r="U7" s="61" t="str">
        <f>IF(TableQCalcMain[[#This Row],[RowNumOfShownItems_SOFT]]&lt;&gt;"",INDEX(TableQCalcMain[Description],TableQCalcMain[[#This Row],[RowNumOfShownItems_SOFT]]),"")</f>
        <v/>
      </c>
      <c r="V7" s="61" t="str">
        <f>IF(TableQCalcMain[[#This Row],[RowNumOfShownItems_SOFT]]&lt;&gt;"",INDEX(TableQCalcMain[Harmonized_Code],TableQCalcMain[[#This Row],[RowNumOfShownItems_SOFT]]),"")</f>
        <v/>
      </c>
      <c r="W7" s="61" t="str">
        <f>IF(TableQCalcMain[[#This Row],[RowNumOfShownItems_SOFT]]="","",INDEX(TableQCalcMain[Detailed_Ext_Price],TableQCalcMain[[#This Row],[RowNumOfShownItems_SOFT]]))</f>
        <v/>
      </c>
      <c r="X7" s="61" t="str">
        <f>IF(TableQCalcMain[[#This Row],[RowNumOfShownItems_SOFT]]="","",INDEX(TableQCalcMain[Real_Quantity],TableQCalcMain[[#This Row],[RowNumOfShownItems_SOFT]]))</f>
        <v/>
      </c>
      <c r="Y7" s="61" t="str">
        <f>IF(TableQCalcMain[[#This Row],[RowNumOfShownItems_SOFT]]="","",INDEX(TableQCalcMain[Unit_Price],TableQCalcMain[[#This Row],[RowNumOfShownItems_SOFT]]))</f>
        <v/>
      </c>
      <c r="Z7" s="61" t="str">
        <f>IF(TableQCalcMain[[#This Row],[RowNumOfShownItems_SOFT]]="","",INDEX(TableQCalcMain[Extended_price],TableQCalcMain[[#This Row],[RowNumOfShownItems_SOFT]]))</f>
        <v/>
      </c>
      <c r="AA7" t="str">
        <f t="array" ref="AA7">IFERROR(MATCH(0,COUNTIF(U$2:$U6,TableQCalcMain[Description])+IF(TableQCalcMain[ShowSoft]=0,1,0),0),"")</f>
        <v/>
      </c>
      <c r="AB7" s="61" t="str">
        <f>IF(TableQCalcMain[[#This Row],[RowNumOfShownItems_Hard]]&lt;&gt;"",INDEX(TableQCalcMain[Description],TableQCalcMain[[#This Row],[RowNumOfShownItems_Hard]]),"")</f>
        <v/>
      </c>
      <c r="AC7" s="61" t="str">
        <f>IF(TableQCalcMain[[#This Row],[RowNumOfShownItems_Hard]]&lt;&gt;"",INDEX(TableQCalcMain[Harmonized_Code],TableQCalcMain[[#This Row],[RowNumOfShownItems_Hard]]),"")</f>
        <v/>
      </c>
      <c r="AD7" s="61" t="str">
        <f>IF(TableQCalcMain[[#This Row],[RowNumOfShownItems_Hard]]="","",INDEX(TableQCalcMain[Detailed_Ext_Price],TableQCalcMain[[#This Row],[RowNumOfShownItems_Hard]]))</f>
        <v/>
      </c>
      <c r="AE7" s="61" t="str">
        <f>IF(TableQCalcMain[[#This Row],[RowNumOfShownItems_Hard]]="","",INDEX(TableQCalcMain[Real_Quantity],TableQCalcMain[[#This Row],[RowNumOfShownItems_Hard]]))</f>
        <v/>
      </c>
      <c r="AF7" s="61" t="str">
        <f>IF(TableQCalcMain[[#This Row],[RowNumOfShownItems_Hard]]="","",
IF(IFERROR(
INDEX(TableQCalcMain[Unit_Price],TableQCalcMain[[#This Row],[RowNumOfShownItems_Hard]]),0)=0,"",
INDEX(TableQCalcMain[Unit_Price],TableQCalcMain[[#This Row],[RowNumOfShownItems_Hard]])
))</f>
        <v/>
      </c>
      <c r="AG7" s="61" t="str">
        <f>IF(TableQCalcMain[[#This Row],[RowNumOfShownItems_Hard]]="","",
IF(IFERROR(
INDEX(TableQCalcMain[Extended_price],TableQCalcMain[[#This Row],[RowNumOfShownItems_Hard]]),0)=0,"",
INDEX(TableQCalcMain[Extended_price],TableQCalcMain[[#This Row],[RowNumOfShownItems_Hard]])
))</f>
        <v/>
      </c>
      <c r="AH7" s="61" t="str">
        <f t="array" ref="AH7">IFERROR(MATCH(0,COUNTIF(AB$2:$AB6,TableQCalcMain[Description])+IF(TableQCalcMain[ShowHard]=0,1,0),0),"")</f>
        <v/>
      </c>
    </row>
    <row r="8" spans="1:37" x14ac:dyDescent="0.2">
      <c r="A8" s="545"/>
      <c r="B8" s="61" t="s">
        <v>321</v>
      </c>
      <c r="C8" s="61">
        <f>N($C$4)+N($C$13)</f>
        <v>0</v>
      </c>
      <c r="D8" s="764">
        <f>IF(AND(QUOTE_Split_SoftwareHardware,TableQCalcMain[[#This Row],[Real_Quantity]]&gt;0,NOT(AND(DENDRO_ChkBox_UpgradeUpdate,DENDRO_ChkB_RemoteUpdate))),1,0)</f>
        <v>0</v>
      </c>
      <c r="E8" s="61">
        <f>IF(QUOTE_InternetDownload,0,1)</f>
        <v>1</v>
      </c>
      <c r="F8" s="61">
        <f>IF(QUOTE_InternetDownload,1,0)</f>
        <v>0</v>
      </c>
      <c r="G8" s="61">
        <f>TableQCalcMain[[#This Row],[ShowDesc?]]*TableQCalcMain[[#This Row],[Software]]</f>
        <v>0</v>
      </c>
      <c r="H8" s="61">
        <f>TableQCalcMain[[#This Row],[ShowDesc?]]*TableQCalcMain[[#This Row],[Hardware]]</f>
        <v>0</v>
      </c>
      <c r="I8" s="61" t="str">
        <f xml:space="preserve">   SUBSTITUTE(
   IF(Francais,
"Clé USB pour WinSOFTWARE" &amp; IF(TableQCalcMain[[#This Row],[Hardware]]=1," et documents d'Instructions (expédiés par transporteur)",""),
"USB drive for WinSOFTWARE" &amp; IF(TableQCalcMain[[#This Row],[Hardware]]=1," and Instructions documents (shipped by courier)","")),
   "WinSOFTWARE","Win" &amp;  LEFT(TableQCalcMain[[#This Row],[Variable / Product ID]],FIND("_",TableQCalcMain[[#This Row],[Variable / Product ID]])-1) &amp; " " &amp; INDEX(DENDRO_UpgradeNameShort,DENDRO_IndexSoftware))</f>
        <v>Clé USB pour WinDENDRO Reg</v>
      </c>
      <c r="J8" s="61">
        <v>852351</v>
      </c>
      <c r="K8" s="61">
        <f>TableQCalcMain[[#This Row],[Extended_price]]</f>
        <v>0</v>
      </c>
      <c r="L8" s="61" t="str">
        <f>IF(OR(TableQCalcMain[[#This Row],[Real_Quantity]]=0,TableQCalcMain[[#This Row],[Extended_price]]=0),"",ROUND(TableQCalcMain[[#This Row],[Extended_price]]/TableQCalcMain[[#This Row],[Real_Quantity]],2))</f>
        <v/>
      </c>
      <c r="M8" s="61">
        <f>PrixUSBKey*TableQCalcMain[[#This Row],[Real_Quantity]]</f>
        <v>0</v>
      </c>
      <c r="N8" s="72" t="str">
        <f>IF(TableQCalcMain[[#This Row],[RowNumOfShownItems_Unsplit]]&lt;&gt;"",INDEX(TableQCalcMain[Description],TableQCalcMain[[#This Row],[RowNumOfShownItems_Unsplit]]),"")</f>
        <v/>
      </c>
      <c r="O8" s="61" t="str">
        <f>IF(TableQCalcMain[[#This Row],[RowNumOfShownItems_Unsplit]]&lt;&gt;"",INDEX(TableQCalcMain[Harmonized_Code],TableQCalcMain[[#This Row],[RowNumOfShownItems_Unsplit]]),"")</f>
        <v/>
      </c>
      <c r="P8" s="61" t="str">
        <f>IF(TableQCalcMain[[#This Row],[RowNumOfShownItems_Unsplit]]="","",INDEX(TableQCalcMain[Detailed_Ext_Price],TableQCalcMain[[#This Row],[RowNumOfShownItems_Unsplit]]))</f>
        <v/>
      </c>
      <c r="Q8" s="61" t="str">
        <f>IF(TableQCalcMain[[#This Row],[RowNumOfShownItems_Unsplit]]="","",INDEX(TableQCalcMain[Real_Quantity],TableQCalcMain[[#This Row],[RowNumOfShownItems_Unsplit]]))</f>
        <v/>
      </c>
      <c r="R8" s="61" t="str">
        <f>IF(TableQCalcMain[[#This Row],[RowNumOfShownItems_Unsplit]]="","",
IF(IFERROR(
INDEX(TableQCalcMain[Unit_Price],TableQCalcMain[[#This Row],[RowNumOfShownItems_Unsplit]]),0)=0,"",
INDEX(TableQCalcMain[Unit_Price],TableQCalcMain[[#This Row],[RowNumOfShownItems_Unsplit]])
))</f>
        <v/>
      </c>
      <c r="S8" s="61" t="str">
        <f>IF(TableQCalcMain[[#This Row],[RowNumOfShownItems_Unsplit]]="","",
IF(IFERROR(
INDEX(TableQCalcMain[Extended_price],TableQCalcMain[[#This Row],[RowNumOfShownItems_Unsplit]]),0)=0,"",
INDEX(TableQCalcMain[Extended_price],TableQCalcMain[[#This Row],[RowNumOfShownItems_Unsplit]])
))</f>
        <v/>
      </c>
      <c r="T8" t="str">
        <f t="array" ref="T8">IFERROR(MATCH(0,COUNTIF(N$2:$N7,TableQCalcMain[Description])+IF(TableQCalcMain[ShowDesc?]=0,1,0),0),"")</f>
        <v/>
      </c>
      <c r="U8" s="61" t="str">
        <f>IF(TableQCalcMain[[#This Row],[RowNumOfShownItems_SOFT]]&lt;&gt;"",INDEX(TableQCalcMain[Description],TableQCalcMain[[#This Row],[RowNumOfShownItems_SOFT]]),"")</f>
        <v/>
      </c>
      <c r="V8" s="61" t="str">
        <f>IF(TableQCalcMain[[#This Row],[RowNumOfShownItems_SOFT]]&lt;&gt;"",INDEX(TableQCalcMain[Harmonized_Code],TableQCalcMain[[#This Row],[RowNumOfShownItems_SOFT]]),"")</f>
        <v/>
      </c>
      <c r="W8" s="61" t="str">
        <f>IF(TableQCalcMain[[#This Row],[RowNumOfShownItems_SOFT]]="","",INDEX(TableQCalcMain[Detailed_Ext_Price],TableQCalcMain[[#This Row],[RowNumOfShownItems_SOFT]]))</f>
        <v/>
      </c>
      <c r="X8" s="61" t="str">
        <f>IF(TableQCalcMain[[#This Row],[RowNumOfShownItems_SOFT]]="","",INDEX(TableQCalcMain[Real_Quantity],TableQCalcMain[[#This Row],[RowNumOfShownItems_SOFT]]))</f>
        <v/>
      </c>
      <c r="Y8" s="61" t="str">
        <f>IF(TableQCalcMain[[#This Row],[RowNumOfShownItems_SOFT]]="","",INDEX(TableQCalcMain[Unit_Price],TableQCalcMain[[#This Row],[RowNumOfShownItems_SOFT]]))</f>
        <v/>
      </c>
      <c r="Z8" s="61" t="str">
        <f>IF(TableQCalcMain[[#This Row],[RowNumOfShownItems_SOFT]]="","",INDEX(TableQCalcMain[Extended_price],TableQCalcMain[[#This Row],[RowNumOfShownItems_SOFT]]))</f>
        <v/>
      </c>
      <c r="AA8" t="str">
        <f t="array" ref="AA8">IFERROR(MATCH(0,COUNTIF(U$2:$U7,TableQCalcMain[Description])+IF(TableQCalcMain[ShowSoft]=0,1,0),0),"")</f>
        <v/>
      </c>
      <c r="AB8" s="61" t="str">
        <f>IF(TableQCalcMain[[#This Row],[RowNumOfShownItems_Hard]]&lt;&gt;"",INDEX(TableQCalcMain[Description],TableQCalcMain[[#This Row],[RowNumOfShownItems_Hard]]),"")</f>
        <v/>
      </c>
      <c r="AC8" s="61" t="str">
        <f>IF(TableQCalcMain[[#This Row],[RowNumOfShownItems_Hard]]&lt;&gt;"",INDEX(TableQCalcMain[Harmonized_Code],TableQCalcMain[[#This Row],[RowNumOfShownItems_Hard]]),"")</f>
        <v/>
      </c>
      <c r="AD8" s="61" t="str">
        <f>IF(TableQCalcMain[[#This Row],[RowNumOfShownItems_Hard]]="","",INDEX(TableQCalcMain[Detailed_Ext_Price],TableQCalcMain[[#This Row],[RowNumOfShownItems_Hard]]))</f>
        <v/>
      </c>
      <c r="AE8" s="61" t="str">
        <f>IF(TableQCalcMain[[#This Row],[RowNumOfShownItems_Hard]]="","",INDEX(TableQCalcMain[Real_Quantity],TableQCalcMain[[#This Row],[RowNumOfShownItems_Hard]]))</f>
        <v/>
      </c>
      <c r="AF8" s="61" t="str">
        <f>IF(TableQCalcMain[[#This Row],[RowNumOfShownItems_Hard]]="","",
IF(IFERROR(
INDEX(TableQCalcMain[Unit_Price],TableQCalcMain[[#This Row],[RowNumOfShownItems_Hard]]),0)=0,"",
INDEX(TableQCalcMain[Unit_Price],TableQCalcMain[[#This Row],[RowNumOfShownItems_Hard]])
))</f>
        <v/>
      </c>
      <c r="AG8" s="61" t="str">
        <f>IF(TableQCalcMain[[#This Row],[RowNumOfShownItems_Hard]]="","",
IF(IFERROR(
INDEX(TableQCalcMain[Extended_price],TableQCalcMain[[#This Row],[RowNumOfShownItems_Hard]]),0)=0,"",
INDEX(TableQCalcMain[Extended_price],TableQCalcMain[[#This Row],[RowNumOfShownItems_Hard]])
))</f>
        <v/>
      </c>
      <c r="AH8" s="61" t="str">
        <f t="array" ref="AH8">IFERROR(MATCH(0,COUNTIF(AB$2:$AB7,TableQCalcMain[Description])+IF(TableQCalcMain[ShowHard]=0,1,0),0),"")</f>
        <v/>
      </c>
    </row>
    <row r="9" spans="1:37" x14ac:dyDescent="0.2">
      <c r="A9" s="545"/>
      <c r="B9" s="61" t="s">
        <v>91</v>
      </c>
      <c r="C9" s="61" t="str">
        <f>IF(NOT(QUOTE_Split_SoftwareHardware),"",C3)</f>
        <v/>
      </c>
      <c r="D9" s="61">
        <f>IF(DENDRO_ClientWithOrWithoutScanner=1,$D$3,0)</f>
        <v>0</v>
      </c>
      <c r="E9" s="61"/>
      <c r="F9" s="61">
        <v>1</v>
      </c>
      <c r="G9" s="61">
        <f>TableQCalcMain[[#This Row],[ShowDesc?]]*TableQCalcMain[[#This Row],[Software]]</f>
        <v>0</v>
      </c>
      <c r="H9" s="61">
        <f>TableQCalcMain[[#This Row],[ShowDesc?]]*TableQCalcMain[[#This Row],[Hardware]]</f>
        <v>0</v>
      </c>
      <c r="I9" s="61" t="str">
        <f>IF(OR(DENDRO_N_System=1,QUOTE_Split_SoftwareHardware),"","   • ") &amp; IF(DENDRO_IndexScanner=1,
IF(Francais," Scanner STD4800: 4800 ppp, Surface de Scan 22x30cm (20x25cm avec LS)"," STD4800 Scanner: 4800 dpi, Scan Area 22x30cm (20x25cm with SL)"),
IF(Francais," Scanner LA2400: 2400 ppp, Surface de Scan 31x44cm (31x42cm avec LS)"," LA2400 Scanner: 2400 dpi, Scan Area 31x44cm (31x42cm with SL)"))
&amp;REPT(" ",10) &amp; "S/N:" &amp; DENDRO_Serial</f>
        <v xml:space="preserve"> Scanner STD4800: 4800 ppp, Surface de Scan 22x30cm (20x25cm avec LS)          S/N:</v>
      </c>
      <c r="J9" s="61" t="str">
        <f>IF(QUOTE_Split_SoftwareHardware,ScannerHCode,"")</f>
        <v/>
      </c>
      <c r="K9" s="61">
        <f>IF(DENDRO_ClientWithOrWithoutScanner=1,
   IF(Distributeurs_Rabais,
      IF(DENDRO_IndexScanner=1,PrixSTD_Dist,IF(DENDRO_IndexScanner=2,PrixLA_Dist,PrixLC_Dist)),
      IF(DENDRO_IndexScanner=1,PrixSTD,          IF(DENDRO_IndexScanner=2,PrixLA,          PrixLC))
    ),
0)
*(DENDRO_N_System-1)-K11</f>
        <v>0</v>
      </c>
      <c r="L9" s="61" t="str">
        <f>IF(OR(TableQCalcMain[[#This Row],[Extended_price]]=0,C3=0),"",ROUND(TableQCalcMain[[#This Row],[Extended_price]]/C3,2))</f>
        <v/>
      </c>
      <c r="M9" s="61">
        <f>IF(NOT(QUOTE_Split_SoftwareHardware),0,TableQCalcMain[[#This Row],[Detailed_Ext_Price]]+N(K10))</f>
        <v>0</v>
      </c>
      <c r="N9" s="72" t="str">
        <f>IF(TableQCalcMain[[#This Row],[RowNumOfShownItems_Unsplit]]&lt;&gt;"",INDEX(TableQCalcMain[Description],TableQCalcMain[[#This Row],[RowNumOfShownItems_Unsplit]]),"")</f>
        <v/>
      </c>
      <c r="O9" s="61" t="str">
        <f>IF(TableQCalcMain[[#This Row],[RowNumOfShownItems_Unsplit]]&lt;&gt;"",INDEX(TableQCalcMain[Harmonized_Code],TableQCalcMain[[#This Row],[RowNumOfShownItems_Unsplit]]),"")</f>
        <v/>
      </c>
      <c r="P9" s="61" t="str">
        <f>IF(TableQCalcMain[[#This Row],[RowNumOfShownItems_Unsplit]]="","",INDEX(TableQCalcMain[Detailed_Ext_Price],TableQCalcMain[[#This Row],[RowNumOfShownItems_Unsplit]]))</f>
        <v/>
      </c>
      <c r="Q9" s="61" t="str">
        <f>IF(TableQCalcMain[[#This Row],[RowNumOfShownItems_Unsplit]]="","",INDEX(TableQCalcMain[Real_Quantity],TableQCalcMain[[#This Row],[RowNumOfShownItems_Unsplit]]))</f>
        <v/>
      </c>
      <c r="R9" s="61" t="str">
        <f>IF(TableQCalcMain[[#This Row],[RowNumOfShownItems_Unsplit]]="","",
IF(IFERROR(
INDEX(TableQCalcMain[Unit_Price],TableQCalcMain[[#This Row],[RowNumOfShownItems_Unsplit]]),0)=0,"",
INDEX(TableQCalcMain[Unit_Price],TableQCalcMain[[#This Row],[RowNumOfShownItems_Unsplit]])
))</f>
        <v/>
      </c>
      <c r="S9" s="61" t="str">
        <f>IF(TableQCalcMain[[#This Row],[RowNumOfShownItems_Unsplit]]="","",
IF(IFERROR(
INDEX(TableQCalcMain[Extended_price],TableQCalcMain[[#This Row],[RowNumOfShownItems_Unsplit]]),0)=0,"",
INDEX(TableQCalcMain[Extended_price],TableQCalcMain[[#This Row],[RowNumOfShownItems_Unsplit]])
))</f>
        <v/>
      </c>
      <c r="T9" t="str">
        <f t="array" ref="T9">IFERROR(MATCH(0,COUNTIF(N$2:$N8,TableQCalcMain[Description])+IF(TableQCalcMain[ShowDesc?]=0,1,0),0),"")</f>
        <v/>
      </c>
      <c r="U9" s="61" t="str">
        <f>IF(TableQCalcMain[[#This Row],[RowNumOfShownItems_SOFT]]&lt;&gt;"",INDEX(TableQCalcMain[Description],TableQCalcMain[[#This Row],[RowNumOfShownItems_SOFT]]),"")</f>
        <v/>
      </c>
      <c r="V9" s="61" t="str">
        <f>IF(TableQCalcMain[[#This Row],[RowNumOfShownItems_SOFT]]&lt;&gt;"",INDEX(TableQCalcMain[Harmonized_Code],TableQCalcMain[[#This Row],[RowNumOfShownItems_SOFT]]),"")</f>
        <v/>
      </c>
      <c r="W9" s="61" t="str">
        <f>IF(TableQCalcMain[[#This Row],[RowNumOfShownItems_SOFT]]="","",INDEX(TableQCalcMain[Detailed_Ext_Price],TableQCalcMain[[#This Row],[RowNumOfShownItems_SOFT]]))</f>
        <v/>
      </c>
      <c r="X9" s="61" t="str">
        <f>IF(TableQCalcMain[[#This Row],[RowNumOfShownItems_SOFT]]="","",INDEX(TableQCalcMain[Real_Quantity],TableQCalcMain[[#This Row],[RowNumOfShownItems_SOFT]]))</f>
        <v/>
      </c>
      <c r="Y9" s="61" t="str">
        <f>IF(TableQCalcMain[[#This Row],[RowNumOfShownItems_SOFT]]="","",INDEX(TableQCalcMain[Unit_Price],TableQCalcMain[[#This Row],[RowNumOfShownItems_SOFT]]))</f>
        <v/>
      </c>
      <c r="Z9" s="61" t="str">
        <f>IF(TableQCalcMain[[#This Row],[RowNumOfShownItems_SOFT]]="","",INDEX(TableQCalcMain[Extended_price],TableQCalcMain[[#This Row],[RowNumOfShownItems_SOFT]]))</f>
        <v/>
      </c>
      <c r="AA9" t="str">
        <f t="array" ref="AA9">IFERROR(MATCH(0,COUNTIF(U$2:$U8,TableQCalcMain[Description])+IF(TableQCalcMain[ShowSoft]=0,1,0),0),"")</f>
        <v/>
      </c>
      <c r="AB9" s="61" t="str">
        <f>IF(TableQCalcMain[[#This Row],[RowNumOfShownItems_Hard]]&lt;&gt;"",INDEX(TableQCalcMain[Description],TableQCalcMain[[#This Row],[RowNumOfShownItems_Hard]]),"")</f>
        <v/>
      </c>
      <c r="AC9" s="61" t="str">
        <f>IF(TableQCalcMain[[#This Row],[RowNumOfShownItems_Hard]]&lt;&gt;"",INDEX(TableQCalcMain[Harmonized_Code],TableQCalcMain[[#This Row],[RowNumOfShownItems_Hard]]),"")</f>
        <v/>
      </c>
      <c r="AD9" s="61" t="str">
        <f>IF(TableQCalcMain[[#This Row],[RowNumOfShownItems_Hard]]="","",INDEX(TableQCalcMain[Detailed_Ext_Price],TableQCalcMain[[#This Row],[RowNumOfShownItems_Hard]]))</f>
        <v/>
      </c>
      <c r="AE9" s="61" t="str">
        <f>IF(TableQCalcMain[[#This Row],[RowNumOfShownItems_Hard]]="","",INDEX(TableQCalcMain[Real_Quantity],TableQCalcMain[[#This Row],[RowNumOfShownItems_Hard]]))</f>
        <v/>
      </c>
      <c r="AF9" s="61" t="str">
        <f>IF(TableQCalcMain[[#This Row],[RowNumOfShownItems_Hard]]="","",
IF(IFERROR(
INDEX(TableQCalcMain[Unit_Price],TableQCalcMain[[#This Row],[RowNumOfShownItems_Hard]]),0)=0,"",
INDEX(TableQCalcMain[Unit_Price],TableQCalcMain[[#This Row],[RowNumOfShownItems_Hard]])
))</f>
        <v/>
      </c>
      <c r="AG9" s="61" t="str">
        <f>IF(TableQCalcMain[[#This Row],[RowNumOfShownItems_Hard]]="","",
IF(IFERROR(
INDEX(TableQCalcMain[Extended_price],TableQCalcMain[[#This Row],[RowNumOfShownItems_Hard]]),0)=0,"",
INDEX(TableQCalcMain[Extended_price],TableQCalcMain[[#This Row],[RowNumOfShownItems_Hard]])
))</f>
        <v/>
      </c>
      <c r="AH9" s="61" t="str">
        <f t="array" ref="AH9">IFERROR(MATCH(0,COUNTIF(AB$2:$AB8,TableQCalcMain[Description])+IF(TableQCalcMain[ShowHard]=0,1,0),0),"")</f>
        <v/>
      </c>
    </row>
    <row r="10" spans="1:37" ht="17" x14ac:dyDescent="0.2">
      <c r="A10" s="545"/>
      <c r="B10" s="61" t="s">
        <v>127</v>
      </c>
      <c r="C10" s="455" t="str">
        <f>IF(AND(DENDRO_ClientWithOrWithoutScanner=1,DENDRO_IndexScanner=2),D10,"")</f>
        <v/>
      </c>
      <c r="D10" s="61">
        <f>IF(AND(WinDENDRO!G21&gt;0,D3&gt;0),DENDRO_OptionTPU-1,IF(DENDRO_ClientWithOrWithoutScanner=1,$D$3,0))</f>
        <v>0</v>
      </c>
      <c r="E10" s="61"/>
      <c r="F10" s="61">
        <v>1</v>
      </c>
      <c r="G10" s="61">
        <f>TableQCalcMain[[#This Row],[ShowDesc?]]*TableQCalcMain[[#This Row],[Software]]</f>
        <v>0</v>
      </c>
      <c r="H10" s="61">
        <f>TableQCalcMain[[#This Row],[ShowDesc?]]*TableQCalcMain[[#This Row],[Hardware]]</f>
        <v>0</v>
      </c>
      <c r="I10" s="61" t="str">
        <f>"         " &amp; WinDENDRO!$E$21&amp;REPT(" ",1)  &amp;REPT(" ",20) &amp; "S/N:" &amp; DENDRO_SerialTPU</f>
        <v xml:space="preserve">         • Lumière spéciale (LS) pour scanner Films RayonX, Racines, Graines ou Aiguilles                     S/N:</v>
      </c>
      <c r="J10" s="61" t="str">
        <f>""</f>
        <v/>
      </c>
      <c r="K10" s="473" t="str">
        <f>IF(DENDRO_IndexScanner=1,"incl.",
IF(Distributeurs_Rabais,PrixTPU_Dist,PrixTPU)*(DENDRO_OptionTPU-1)
)</f>
        <v>incl.</v>
      </c>
      <c r="L10" s="61" t="str">
        <f>""</f>
        <v/>
      </c>
      <c r="M10" s="61" t="str">
        <f>""</f>
        <v/>
      </c>
      <c r="N10" s="72" t="str">
        <f>IF(TableQCalcMain[[#This Row],[RowNumOfShownItems_Unsplit]]&lt;&gt;"",INDEX(TableQCalcMain[Description],TableQCalcMain[[#This Row],[RowNumOfShownItems_Unsplit]]),"")</f>
        <v/>
      </c>
      <c r="O10" s="61" t="str">
        <f>IF(TableQCalcMain[[#This Row],[RowNumOfShownItems_Unsplit]]&lt;&gt;"",INDEX(TableQCalcMain[Harmonized_Code],TableQCalcMain[[#This Row],[RowNumOfShownItems_Unsplit]]),"")</f>
        <v/>
      </c>
      <c r="P10" s="61" t="str">
        <f>IF(TableQCalcMain[[#This Row],[RowNumOfShownItems_Unsplit]]="","",INDEX(TableQCalcMain[Detailed_Ext_Price],TableQCalcMain[[#This Row],[RowNumOfShownItems_Unsplit]]))</f>
        <v/>
      </c>
      <c r="Q10" s="61" t="str">
        <f>IF(TableQCalcMain[[#This Row],[RowNumOfShownItems_Unsplit]]="","",INDEX(TableQCalcMain[Real_Quantity],TableQCalcMain[[#This Row],[RowNumOfShownItems_Unsplit]]))</f>
        <v/>
      </c>
      <c r="R10" s="61" t="str">
        <f>IF(TableQCalcMain[[#This Row],[RowNumOfShownItems_Unsplit]]="","",
IF(IFERROR(
INDEX(TableQCalcMain[Unit_Price],TableQCalcMain[[#This Row],[RowNumOfShownItems_Unsplit]]),0)=0,"",
INDEX(TableQCalcMain[Unit_Price],TableQCalcMain[[#This Row],[RowNumOfShownItems_Unsplit]])
))</f>
        <v/>
      </c>
      <c r="S10" s="61" t="str">
        <f>IF(TableQCalcMain[[#This Row],[RowNumOfShownItems_Unsplit]]="","",
IF(IFERROR(
INDEX(TableQCalcMain[Extended_price],TableQCalcMain[[#This Row],[RowNumOfShownItems_Unsplit]]),0)=0,"",
INDEX(TableQCalcMain[Extended_price],TableQCalcMain[[#This Row],[RowNumOfShownItems_Unsplit]])
))</f>
        <v/>
      </c>
      <c r="T10" t="str">
        <f t="array" ref="T10">IFERROR(MATCH(0,COUNTIF(N$2:$N9,TableQCalcMain[Description])+IF(TableQCalcMain[ShowDesc?]=0,1,0),0),"")</f>
        <v/>
      </c>
      <c r="U10" s="61" t="str">
        <f>IF(TableQCalcMain[[#This Row],[RowNumOfShownItems_SOFT]]&lt;&gt;"",INDEX(TableQCalcMain[Description],TableQCalcMain[[#This Row],[RowNumOfShownItems_SOFT]]),"")</f>
        <v/>
      </c>
      <c r="V10" s="61" t="str">
        <f>IF(TableQCalcMain[[#This Row],[RowNumOfShownItems_SOFT]]&lt;&gt;"",INDEX(TableQCalcMain[Harmonized_Code],TableQCalcMain[[#This Row],[RowNumOfShownItems_SOFT]]),"")</f>
        <v/>
      </c>
      <c r="W10" s="61" t="str">
        <f>IF(TableQCalcMain[[#This Row],[RowNumOfShownItems_SOFT]]="","",INDEX(TableQCalcMain[Detailed_Ext_Price],TableQCalcMain[[#This Row],[RowNumOfShownItems_SOFT]]))</f>
        <v/>
      </c>
      <c r="X10" s="61" t="str">
        <f>IF(TableQCalcMain[[#This Row],[RowNumOfShownItems_SOFT]]="","",INDEX(TableQCalcMain[Real_Quantity],TableQCalcMain[[#This Row],[RowNumOfShownItems_SOFT]]))</f>
        <v/>
      </c>
      <c r="Y10" s="61" t="str">
        <f>IF(TableQCalcMain[[#This Row],[RowNumOfShownItems_SOFT]]="","",INDEX(TableQCalcMain[Unit_Price],TableQCalcMain[[#This Row],[RowNumOfShownItems_SOFT]]))</f>
        <v/>
      </c>
      <c r="Z10" s="61" t="str">
        <f>IF(TableQCalcMain[[#This Row],[RowNumOfShownItems_SOFT]]="","",INDEX(TableQCalcMain[Extended_price],TableQCalcMain[[#This Row],[RowNumOfShownItems_SOFT]]))</f>
        <v/>
      </c>
      <c r="AA10" t="str">
        <f t="array" ref="AA10">IFERROR(MATCH(0,COUNTIF(U$2:$U9,TableQCalcMain[Description])+IF(TableQCalcMain[ShowSoft]=0,1,0),0),"")</f>
        <v/>
      </c>
      <c r="AB10" s="61" t="str">
        <f>IF(TableQCalcMain[[#This Row],[RowNumOfShownItems_Hard]]&lt;&gt;"",INDEX(TableQCalcMain[Description],TableQCalcMain[[#This Row],[RowNumOfShownItems_Hard]]),"")</f>
        <v/>
      </c>
      <c r="AC10" s="61" t="str">
        <f>IF(TableQCalcMain[[#This Row],[RowNumOfShownItems_Hard]]&lt;&gt;"",INDEX(TableQCalcMain[Harmonized_Code],TableQCalcMain[[#This Row],[RowNumOfShownItems_Hard]]),"")</f>
        <v/>
      </c>
      <c r="AD10" s="61" t="str">
        <f>IF(TableQCalcMain[[#This Row],[RowNumOfShownItems_Hard]]="","",INDEX(TableQCalcMain[Detailed_Ext_Price],TableQCalcMain[[#This Row],[RowNumOfShownItems_Hard]]))</f>
        <v/>
      </c>
      <c r="AE10" s="61" t="str">
        <f>IF(TableQCalcMain[[#This Row],[RowNumOfShownItems_Hard]]="","",INDEX(TableQCalcMain[Real_Quantity],TableQCalcMain[[#This Row],[RowNumOfShownItems_Hard]]))</f>
        <v/>
      </c>
      <c r="AF10" s="61" t="str">
        <f>IF(TableQCalcMain[[#This Row],[RowNumOfShownItems_Hard]]="","",
IF(IFERROR(
INDEX(TableQCalcMain[Unit_Price],TableQCalcMain[[#This Row],[RowNumOfShownItems_Hard]]),0)=0,"",
INDEX(TableQCalcMain[Unit_Price],TableQCalcMain[[#This Row],[RowNumOfShownItems_Hard]])
))</f>
        <v/>
      </c>
      <c r="AG10" s="61" t="str">
        <f>IF(TableQCalcMain[[#This Row],[RowNumOfShownItems_Hard]]="","",
IF(IFERROR(
INDEX(TableQCalcMain[Extended_price],TableQCalcMain[[#This Row],[RowNumOfShownItems_Hard]]),0)=0,"",
INDEX(TableQCalcMain[Extended_price],TableQCalcMain[[#This Row],[RowNumOfShownItems_Hard]])
))</f>
        <v/>
      </c>
      <c r="AH10" s="61" t="str">
        <f t="array" ref="AH10">IFERROR(MATCH(0,COUNTIF(AB$2:$AB9,TableQCalcMain[Description])+IF(TableQCalcMain[ShowHard]=0,1,0),0),"")</f>
        <v/>
      </c>
    </row>
    <row r="11" spans="1:37" ht="17" x14ac:dyDescent="0.2">
      <c r="A11" s="545"/>
      <c r="B11" s="571" t="s">
        <v>347</v>
      </c>
      <c r="C11" s="572" t="str">
        <f>IF(AND((QUOTE_Split_SoftwareHardware),N(C4)=0),C3,
IF(AND(QUOTE_Split_SoftwareHardware,NOT(DENDRO_ClientWithOrWithoutScanner_ChkBox)),C3,"")
)</f>
        <v/>
      </c>
      <c r="D11" s="571">
        <f>IF(AND((QUOTE_Split_SoftwareHardware),AND(NOT(SuperUser),N(D4)=0)),0,D3)</f>
        <v>0</v>
      </c>
      <c r="E11" s="538">
        <v>1</v>
      </c>
      <c r="F11" s="538">
        <v>0</v>
      </c>
      <c r="G11" s="538">
        <f>TableQCalcMain[[#This Row],[ShowDesc?]]*TableQCalcMain[[#This Row],[Software]]</f>
        <v>0</v>
      </c>
      <c r="H11" s="538">
        <f>TableQCalcMain[[#This Row],[ShowDesc?]]*TableQCalcMain[[#This Row],[Hardware]]</f>
        <v>0</v>
      </c>
      <c r="I11" s="571" t="str">
        <f>IF(AND((QUOTE_Split_SoftwareHardware),N(C4)=0),"","         • ") &amp; IF(Francais,
"Calibration Scanner, Instructions," &amp; IF(OR(LEFT(TableQCalcMain[[#This Row],[Variable / Product ID]],3)="RHI",LEFT(TableQCalcMain[[#This Row],[Variable / Product ID]],3)="SEE")," Didacticiel vidéo,","") &amp; " Pilote TWAIN " &amp; "&amp;" &amp; " Support Technique",
"Scanner Calibration, Instructions," &amp; IF(OR(LEFT(TableQCalcMain[[#This Row],[Variable / Product ID]],3)="RHI",LEFT(TableQCalcMain[[#This Row],[Variable / Product ID]],3)="SEE")," Video tutorial,","") &amp; " TWAIN driver " &amp; "&amp;" &amp; " Technical support")
&amp; IF(LEFT(TableQCalcMain[[#This Row],[Variable / Product ID]],3)="DEN",REPT(" ",0),
IF(LEFT(TableQCalcMain[[#This Row],[Variable / Product ID]],3)="RHI",REPT(" ",1),
IF(LEFT(TableQCalcMain[[#This Row],[Variable / Product ID]],3)="FOL",REPT(" ",2),
IF(LEFT(TableQCalcMain[[#This Row],[Variable / Product ID]],3)="SEE",REPT(" ",3),
IF(LEFT(TableQCalcMain[[#This Row],[Variable / Product ID]],3)="CAM",REPT(" ",4),"")))))</f>
        <v xml:space="preserve">         • Calibration Scanner, Instructions, Pilote TWAIN &amp; Support Technique</v>
      </c>
      <c r="J11" s="538" t="str">
        <f>""</f>
        <v/>
      </c>
      <c r="K11" s="538">
        <f>ROUND((IF(DENDRO_IndexScanner=1,STD_GenCalib_Drivers_Instr_Techsup,LA_GenCalib_Drivers_Instr_Techsup)
)*(DENDRO_N_System-1)*(1-RebateCalibScanner*Distributeurs_Rabais),0)</f>
        <v>0</v>
      </c>
      <c r="L11" s="538" t="str">
        <f>IF(QUOTE_Split_SoftwareHardware,TableQCalcMain[[#This Row],[Detailed_Ext_Price]]/TableQCalcMain[[#This Row],[ShowDesc?]],"")</f>
        <v/>
      </c>
      <c r="M11" s="538">
        <f>IF(QUOTE_Split_SoftwareHardware,TableQCalcMain[[#This Row],[Detailed_Ext_Price]],0)</f>
        <v>0</v>
      </c>
      <c r="N11" s="72" t="str">
        <f>IF(TableQCalcMain[[#This Row],[RowNumOfShownItems_Unsplit]]&lt;&gt;"",INDEX(TableQCalcMain[Description],TableQCalcMain[[#This Row],[RowNumOfShownItems_Unsplit]]),"")</f>
        <v/>
      </c>
      <c r="O11" s="61" t="str">
        <f>IF(TableQCalcMain[[#This Row],[RowNumOfShownItems_Unsplit]]&lt;&gt;"",INDEX(TableQCalcMain[Harmonized_Code],TableQCalcMain[[#This Row],[RowNumOfShownItems_Unsplit]]),"")</f>
        <v/>
      </c>
      <c r="P11" s="61" t="str">
        <f>IF(TableQCalcMain[[#This Row],[RowNumOfShownItems_Unsplit]]="","",INDEX(TableQCalcMain[Detailed_Ext_Price],TableQCalcMain[[#This Row],[RowNumOfShownItems_Unsplit]]))</f>
        <v/>
      </c>
      <c r="Q11" s="61" t="str">
        <f>IF(TableQCalcMain[[#This Row],[RowNumOfShownItems_Unsplit]]="","",INDEX(TableQCalcMain[Real_Quantity],TableQCalcMain[[#This Row],[RowNumOfShownItems_Unsplit]]))</f>
        <v/>
      </c>
      <c r="R11" s="61" t="str">
        <f>IF(TableQCalcMain[[#This Row],[RowNumOfShownItems_Unsplit]]="","",
IF(IFERROR(
INDEX(TableQCalcMain[Unit_Price],TableQCalcMain[[#This Row],[RowNumOfShownItems_Unsplit]]),0)=0,"",
INDEX(TableQCalcMain[Unit_Price],TableQCalcMain[[#This Row],[RowNumOfShownItems_Unsplit]])
))</f>
        <v/>
      </c>
      <c r="S11" s="61" t="str">
        <f>IF(TableQCalcMain[[#This Row],[RowNumOfShownItems_Unsplit]]="","",
IF(IFERROR(
INDEX(TableQCalcMain[Extended_price],TableQCalcMain[[#This Row],[RowNumOfShownItems_Unsplit]]),0)=0,"",
INDEX(TableQCalcMain[Extended_price],TableQCalcMain[[#This Row],[RowNumOfShownItems_Unsplit]])
))</f>
        <v/>
      </c>
      <c r="T11" t="str">
        <f t="array" ref="T11">IFERROR(MATCH(0,COUNTIF(N$2:$N10,TableQCalcMain[Description])+IF(TableQCalcMain[ShowDesc?]=0,1,0),0),"")</f>
        <v/>
      </c>
      <c r="U11" s="61" t="str">
        <f>IF(TableQCalcMain[[#This Row],[RowNumOfShownItems_SOFT]]&lt;&gt;"",INDEX(TableQCalcMain[Description],TableQCalcMain[[#This Row],[RowNumOfShownItems_SOFT]]),"")</f>
        <v/>
      </c>
      <c r="V11" s="61" t="str">
        <f>IF(TableQCalcMain[[#This Row],[RowNumOfShownItems_SOFT]]&lt;&gt;"",INDEX(TableQCalcMain[Harmonized_Code],TableQCalcMain[[#This Row],[RowNumOfShownItems_SOFT]]),"")</f>
        <v/>
      </c>
      <c r="W11" s="61" t="str">
        <f>IF(TableQCalcMain[[#This Row],[RowNumOfShownItems_SOFT]]="","",INDEX(TableQCalcMain[Detailed_Ext_Price],TableQCalcMain[[#This Row],[RowNumOfShownItems_SOFT]]))</f>
        <v/>
      </c>
      <c r="X11" s="61" t="str">
        <f>IF(TableQCalcMain[[#This Row],[RowNumOfShownItems_SOFT]]="","",INDEX(TableQCalcMain[Real_Quantity],TableQCalcMain[[#This Row],[RowNumOfShownItems_SOFT]]))</f>
        <v/>
      </c>
      <c r="Y11" s="61" t="str">
        <f>IF(TableQCalcMain[[#This Row],[RowNumOfShownItems_SOFT]]="","",INDEX(TableQCalcMain[Unit_Price],TableQCalcMain[[#This Row],[RowNumOfShownItems_SOFT]]))</f>
        <v/>
      </c>
      <c r="Z11" s="61" t="str">
        <f>IF(TableQCalcMain[[#This Row],[RowNumOfShownItems_SOFT]]="","",INDEX(TableQCalcMain[Extended_price],TableQCalcMain[[#This Row],[RowNumOfShownItems_SOFT]]))</f>
        <v/>
      </c>
      <c r="AA11" t="str">
        <f t="array" ref="AA11">IFERROR(MATCH(0,COUNTIF(U$2:$U10,TableQCalcMain[Description])+IF(TableQCalcMain[ShowSoft]=0,1,0),0),"")</f>
        <v/>
      </c>
      <c r="AB11" s="61" t="str">
        <f>IF(TableQCalcMain[[#This Row],[RowNumOfShownItems_Hard]]&lt;&gt;"",INDEX(TableQCalcMain[Description],TableQCalcMain[[#This Row],[RowNumOfShownItems_Hard]]),"")</f>
        <v/>
      </c>
      <c r="AC11" s="61" t="str">
        <f>IF(TableQCalcMain[[#This Row],[RowNumOfShownItems_Hard]]&lt;&gt;"",INDEX(TableQCalcMain[Harmonized_Code],TableQCalcMain[[#This Row],[RowNumOfShownItems_Hard]]),"")</f>
        <v/>
      </c>
      <c r="AD11" s="61" t="str">
        <f>IF(TableQCalcMain[[#This Row],[RowNumOfShownItems_Hard]]="","",INDEX(TableQCalcMain[Detailed_Ext_Price],TableQCalcMain[[#This Row],[RowNumOfShownItems_Hard]]))</f>
        <v/>
      </c>
      <c r="AE11" s="61" t="str">
        <f>IF(TableQCalcMain[[#This Row],[RowNumOfShownItems_Hard]]="","",INDEX(TableQCalcMain[Real_Quantity],TableQCalcMain[[#This Row],[RowNumOfShownItems_Hard]]))</f>
        <v/>
      </c>
      <c r="AF11" s="61" t="str">
        <f>IF(TableQCalcMain[[#This Row],[RowNumOfShownItems_Hard]]="","",
IF(IFERROR(
INDEX(TableQCalcMain[Unit_Price],TableQCalcMain[[#This Row],[RowNumOfShownItems_Hard]]),0)=0,"",
INDEX(TableQCalcMain[Unit_Price],TableQCalcMain[[#This Row],[RowNumOfShownItems_Hard]])
))</f>
        <v/>
      </c>
      <c r="AG11" s="61" t="str">
        <f>IF(TableQCalcMain[[#This Row],[RowNumOfShownItems_Hard]]="","",
IF(IFERROR(
INDEX(TableQCalcMain[Extended_price],TableQCalcMain[[#This Row],[RowNumOfShownItems_Hard]]),0)=0,"",
INDEX(TableQCalcMain[Extended_price],TableQCalcMain[[#This Row],[RowNumOfShownItems_Hard]])
))</f>
        <v/>
      </c>
      <c r="AH11" s="61" t="str">
        <f t="array" ref="AH11">IFERROR(MATCH(0,COUNTIF(AB$2:$AB10,TableQCalcMain[Description])+IF(TableQCalcMain[ShowHard]=0,1,0),0),"")</f>
        <v/>
      </c>
    </row>
    <row r="12" spans="1:37" x14ac:dyDescent="0.2">
      <c r="A12" s="545"/>
      <c r="B12" s="61" t="s">
        <v>342</v>
      </c>
      <c r="C12" s="455"/>
      <c r="D12" s="61"/>
      <c r="E12" s="61"/>
      <c r="F12" s="61"/>
      <c r="G12" s="61"/>
      <c r="H12" s="61"/>
      <c r="I12" s="61"/>
      <c r="J12" s="61" t="str">
        <f>""</f>
        <v/>
      </c>
      <c r="K12" s="61" t="str">
        <f>""</f>
        <v/>
      </c>
      <c r="L12" s="61" t="str">
        <f>""</f>
        <v/>
      </c>
      <c r="M12" s="61" t="str">
        <f>""</f>
        <v/>
      </c>
      <c r="N12" s="72" t="str">
        <f>IF(TableQCalcMain[[#This Row],[RowNumOfShownItems_Unsplit]]&lt;&gt;"",INDEX(TableQCalcMain[Description],TableQCalcMain[[#This Row],[RowNumOfShownItems_Unsplit]]),"")</f>
        <v/>
      </c>
      <c r="O12" s="61" t="str">
        <f>IF(TableQCalcMain[[#This Row],[RowNumOfShownItems_Unsplit]]&lt;&gt;"",INDEX(TableQCalcMain[Harmonized_Code],TableQCalcMain[[#This Row],[RowNumOfShownItems_Unsplit]]),"")</f>
        <v/>
      </c>
      <c r="P12" s="61" t="str">
        <f>IF(TableQCalcMain[[#This Row],[RowNumOfShownItems_Unsplit]]="","",INDEX(TableQCalcMain[Detailed_Ext_Price],TableQCalcMain[[#This Row],[RowNumOfShownItems_Unsplit]]))</f>
        <v/>
      </c>
      <c r="Q12" s="61" t="str">
        <f>IF(TableQCalcMain[[#This Row],[RowNumOfShownItems_Unsplit]]="","",INDEX(TableQCalcMain[Real_Quantity],TableQCalcMain[[#This Row],[RowNumOfShownItems_Unsplit]]))</f>
        <v/>
      </c>
      <c r="R12" s="61" t="str">
        <f>IF(TableQCalcMain[[#This Row],[RowNumOfShownItems_Unsplit]]="","",
IF(IFERROR(
INDEX(TableQCalcMain[Unit_Price],TableQCalcMain[[#This Row],[RowNumOfShownItems_Unsplit]]),0)=0,"",
INDEX(TableQCalcMain[Unit_Price],TableQCalcMain[[#This Row],[RowNumOfShownItems_Unsplit]])
))</f>
        <v/>
      </c>
      <c r="S12" s="61" t="str">
        <f>IF(TableQCalcMain[[#This Row],[RowNumOfShownItems_Unsplit]]="","",
IF(IFERROR(
INDEX(TableQCalcMain[Extended_price],TableQCalcMain[[#This Row],[RowNumOfShownItems_Unsplit]]),0)=0,"",
INDEX(TableQCalcMain[Extended_price],TableQCalcMain[[#This Row],[RowNumOfShownItems_Unsplit]])
))</f>
        <v/>
      </c>
      <c r="T12" t="str">
        <f t="array" ref="T12">IFERROR(MATCH(0,COUNTIF(N$2:$N11,TableQCalcMain[Description])+IF(TableQCalcMain[ShowDesc?]=0,1,0),0),"")</f>
        <v/>
      </c>
      <c r="U12" s="61" t="str">
        <f>IF(TableQCalcMain[[#This Row],[RowNumOfShownItems_SOFT]]&lt;&gt;"",INDEX(TableQCalcMain[Description],TableQCalcMain[[#This Row],[RowNumOfShownItems_SOFT]]),"")</f>
        <v/>
      </c>
      <c r="V12" s="61" t="str">
        <f>IF(TableQCalcMain[[#This Row],[RowNumOfShownItems_SOFT]]&lt;&gt;"",INDEX(TableQCalcMain[Harmonized_Code],TableQCalcMain[[#This Row],[RowNumOfShownItems_SOFT]]),"")</f>
        <v/>
      </c>
      <c r="W12" s="61" t="str">
        <f>IF(TableQCalcMain[[#This Row],[RowNumOfShownItems_SOFT]]="","",INDEX(TableQCalcMain[Detailed_Ext_Price],TableQCalcMain[[#This Row],[RowNumOfShownItems_SOFT]]))</f>
        <v/>
      </c>
      <c r="X12" s="61" t="str">
        <f>IF(TableQCalcMain[[#This Row],[RowNumOfShownItems_SOFT]]="","",INDEX(TableQCalcMain[Real_Quantity],TableQCalcMain[[#This Row],[RowNumOfShownItems_SOFT]]))</f>
        <v/>
      </c>
      <c r="Y12" s="61" t="str">
        <f>IF(TableQCalcMain[[#This Row],[RowNumOfShownItems_SOFT]]="","",INDEX(TableQCalcMain[Unit_Price],TableQCalcMain[[#This Row],[RowNumOfShownItems_SOFT]]))</f>
        <v/>
      </c>
      <c r="Z12" s="61" t="str">
        <f>IF(TableQCalcMain[[#This Row],[RowNumOfShownItems_SOFT]]="","",INDEX(TableQCalcMain[Extended_price],TableQCalcMain[[#This Row],[RowNumOfShownItems_SOFT]]))</f>
        <v/>
      </c>
      <c r="AA12" t="str">
        <f t="array" ref="AA12">IFERROR(MATCH(0,COUNTIF(U$2:$U11,TableQCalcMain[Description])+IF(TableQCalcMain[ShowSoft]=0,1,0),0),"")</f>
        <v/>
      </c>
      <c r="AB12" s="61" t="str">
        <f>IF(TableQCalcMain[[#This Row],[RowNumOfShownItems_Hard]]&lt;&gt;"",INDEX(TableQCalcMain[Description],TableQCalcMain[[#This Row],[RowNumOfShownItems_Hard]]),"")</f>
        <v/>
      </c>
      <c r="AC12" s="61" t="str">
        <f>IF(TableQCalcMain[[#This Row],[RowNumOfShownItems_Hard]]&lt;&gt;"",INDEX(TableQCalcMain[Harmonized_Code],TableQCalcMain[[#This Row],[RowNumOfShownItems_Hard]]),"")</f>
        <v/>
      </c>
      <c r="AD12" s="61" t="str">
        <f>IF(TableQCalcMain[[#This Row],[RowNumOfShownItems_Hard]]="","",INDEX(TableQCalcMain[Detailed_Ext_Price],TableQCalcMain[[#This Row],[RowNumOfShownItems_Hard]]))</f>
        <v/>
      </c>
      <c r="AE12" s="61" t="str">
        <f>IF(TableQCalcMain[[#This Row],[RowNumOfShownItems_Hard]]="","",INDEX(TableQCalcMain[Real_Quantity],TableQCalcMain[[#This Row],[RowNumOfShownItems_Hard]]))</f>
        <v/>
      </c>
      <c r="AF12" s="61" t="str">
        <f>IF(TableQCalcMain[[#This Row],[RowNumOfShownItems_Hard]]="","",
IF(IFERROR(
INDEX(TableQCalcMain[Unit_Price],TableQCalcMain[[#This Row],[RowNumOfShownItems_Hard]]),0)=0,"",
INDEX(TableQCalcMain[Unit_Price],TableQCalcMain[[#This Row],[RowNumOfShownItems_Hard]])
))</f>
        <v/>
      </c>
      <c r="AG12" s="61" t="str">
        <f>IF(TableQCalcMain[[#This Row],[RowNumOfShownItems_Hard]]="","",
IF(IFERROR(
INDEX(TableQCalcMain[Extended_price],TableQCalcMain[[#This Row],[RowNumOfShownItems_Hard]]),0)=0,"",
INDEX(TableQCalcMain[Extended_price],TableQCalcMain[[#This Row],[RowNumOfShownItems_Hard]])
))</f>
        <v/>
      </c>
      <c r="AH12" s="61" t="str">
        <f t="array" ref="AH12">IFERROR(MATCH(0,COUNTIF(AB$2:$AB11,TableQCalcMain[Description])+IF(TableQCalcMain[ShowHard]=0,1,0),0),"")</f>
        <v/>
      </c>
    </row>
    <row r="13" spans="1:37" x14ac:dyDescent="0.2">
      <c r="A13" s="545"/>
      <c r="B13" s="469" t="s">
        <v>55</v>
      </c>
      <c r="C13" s="61">
        <f>DENDRO_N_UpgradeUpdate-1</f>
        <v>0</v>
      </c>
      <c r="D13" s="567">
        <f>IFERROR(IF(AND(D5=0,OR(WinDENDRO!$G$5&gt;0,WinDENDRO!$G$6&gt;0)),DENDRO_N_UpgradeUpdate-1,0),0)</f>
        <v>0</v>
      </c>
      <c r="E13" s="61">
        <v>1</v>
      </c>
      <c r="F13" s="61"/>
      <c r="G13" s="61">
        <f>TableQCalcMain[[#This Row],[ShowDesc?]]*TableQCalcMain[[#This Row],[Software]]</f>
        <v>0</v>
      </c>
      <c r="H13" s="61">
        <f>TableQCalcMain[[#This Row],[ShowDesc?]]*TableQCalcMain[[#This Row],[Hardware]]</f>
        <v>0</v>
      </c>
      <c r="I13" s="469" t="str">
        <f>IF(Francais,"Mise à jour de ","Update from ")&amp;
INDEX(DENDRO_SoftwareList,DENDRO_IndexClientVersion) &amp; DENDRO_YearClient &amp;
IF(Francais," à "," to ") &amp;
INDEX(DENDRO_SoftwareList,DENDRO_IndexSoftware) &amp; DENDRO_YearMostRecent  &amp; " " &amp; "&amp;" &amp; " XLSTEM"
&amp;
IF(QUOTE_Split_SoftwareHardware,IF(QUOTE_InternetDownload,IF(Francais, ", Téléchargement Internet", ", Internet download"),IF(Francais, ", Envoyé par transporteur", ", Shipped by courier")),IF(Francais," sur media USB (manuels PDF &amp; imprimés)"," on USB drive (PDF &amp; printed manuals)"))</f>
        <v>Mise à jour de WinDENDRO™ Reg 2019 à WinDENDRO™ Reg 2025 &amp; XLSTEM sur media USB (manuels PDF &amp; imprimés)</v>
      </c>
      <c r="J13" s="61">
        <f>IF(DENDRO_N_System&gt;1,
"",WinDENDRO!$I$4)</f>
        <v>852349</v>
      </c>
      <c r="K13" s="61" t="str">
        <f>""</f>
        <v/>
      </c>
      <c r="L13" s="61" t="e">
        <f>ROUND(TableQCalcMain[[#This Row],[Extended_price]]/TableQCalcMain[[#This Row],[Real_Quantity]],2)</f>
        <v>#DIV/0!</v>
      </c>
      <c r="M13" s="764">
        <f>ROUND(IF(Distributeurs_Rabais,IFERROR(QCalc!G200,0),IFERROR(QCalc!F200,0))
-IF(AND(NOT(DENDRO_ChkB_RemoteUpdate),QUOTE_Split_SoftwareHardware),PrixUSBKey*(DENDRO_N_UpgradeUpdate-1),0),2)</f>
        <v>0</v>
      </c>
      <c r="N13" s="72" t="str">
        <f>IF(TableQCalcMain[[#This Row],[RowNumOfShownItems_Unsplit]]&lt;&gt;"",INDEX(TableQCalcMain[Description],TableQCalcMain[[#This Row],[RowNumOfShownItems_Unsplit]]),"")</f>
        <v/>
      </c>
      <c r="O13" s="61" t="str">
        <f>IF(TableQCalcMain[[#This Row],[RowNumOfShownItems_Unsplit]]&lt;&gt;"",INDEX(TableQCalcMain[Harmonized_Code],TableQCalcMain[[#This Row],[RowNumOfShownItems_Unsplit]]),"")</f>
        <v/>
      </c>
      <c r="P13" s="61" t="str">
        <f>IF(TableQCalcMain[[#This Row],[RowNumOfShownItems_Unsplit]]="","",INDEX(TableQCalcMain[Detailed_Ext_Price],TableQCalcMain[[#This Row],[RowNumOfShownItems_Unsplit]]))</f>
        <v/>
      </c>
      <c r="Q13" s="61" t="str">
        <f>IF(TableQCalcMain[[#This Row],[RowNumOfShownItems_Unsplit]]="","",INDEX(TableQCalcMain[Real_Quantity],TableQCalcMain[[#This Row],[RowNumOfShownItems_Unsplit]]))</f>
        <v/>
      </c>
      <c r="R13" s="61" t="str">
        <f>IF(TableQCalcMain[[#This Row],[RowNumOfShownItems_Unsplit]]="","",
IF(IFERROR(
INDEX(TableQCalcMain[Unit_Price],TableQCalcMain[[#This Row],[RowNumOfShownItems_Unsplit]]),0)=0,"",
INDEX(TableQCalcMain[Unit_Price],TableQCalcMain[[#This Row],[RowNumOfShownItems_Unsplit]])
))</f>
        <v/>
      </c>
      <c r="S13" s="61" t="str">
        <f>IF(TableQCalcMain[[#This Row],[RowNumOfShownItems_Unsplit]]="","",
IF(IFERROR(
INDEX(TableQCalcMain[Extended_price],TableQCalcMain[[#This Row],[RowNumOfShownItems_Unsplit]]),0)=0,"",
INDEX(TableQCalcMain[Extended_price],TableQCalcMain[[#This Row],[RowNumOfShownItems_Unsplit]])
))</f>
        <v/>
      </c>
      <c r="T13" t="str">
        <f t="array" ref="T13">IFERROR(MATCH(0,COUNTIF(N$2:$N12,TableQCalcMain[Description])+IF(TableQCalcMain[ShowDesc?]=0,1,0),0),"")</f>
        <v/>
      </c>
      <c r="U13" s="61" t="str">
        <f>IF(TableQCalcMain[[#This Row],[RowNumOfShownItems_SOFT]]&lt;&gt;"",INDEX(TableQCalcMain[Description],TableQCalcMain[[#This Row],[RowNumOfShownItems_SOFT]]),"")</f>
        <v/>
      </c>
      <c r="V13" s="61" t="str">
        <f>IF(TableQCalcMain[[#This Row],[RowNumOfShownItems_SOFT]]&lt;&gt;"",INDEX(TableQCalcMain[Harmonized_Code],TableQCalcMain[[#This Row],[RowNumOfShownItems_SOFT]]),"")</f>
        <v/>
      </c>
      <c r="W13" s="61" t="str">
        <f>IF(TableQCalcMain[[#This Row],[RowNumOfShownItems_SOFT]]="","",INDEX(TableQCalcMain[Detailed_Ext_Price],TableQCalcMain[[#This Row],[RowNumOfShownItems_SOFT]]))</f>
        <v/>
      </c>
      <c r="X13" s="61" t="str">
        <f>IF(TableQCalcMain[[#This Row],[RowNumOfShownItems_SOFT]]="","",INDEX(TableQCalcMain[Real_Quantity],TableQCalcMain[[#This Row],[RowNumOfShownItems_SOFT]]))</f>
        <v/>
      </c>
      <c r="Y13" s="61" t="str">
        <f>IF(TableQCalcMain[[#This Row],[RowNumOfShownItems_SOFT]]="","",INDEX(TableQCalcMain[Unit_Price],TableQCalcMain[[#This Row],[RowNumOfShownItems_SOFT]]))</f>
        <v/>
      </c>
      <c r="Z13" s="61" t="str">
        <f>IF(TableQCalcMain[[#This Row],[RowNumOfShownItems_SOFT]]="","",INDEX(TableQCalcMain[Extended_price],TableQCalcMain[[#This Row],[RowNumOfShownItems_SOFT]]))</f>
        <v/>
      </c>
      <c r="AA13" t="str">
        <f t="array" ref="AA13">IFERROR(MATCH(0,COUNTIF(U$2:$U12,TableQCalcMain[Description])+IF(TableQCalcMain[ShowSoft]=0,1,0),0),"")</f>
        <v/>
      </c>
      <c r="AB13" s="61" t="str">
        <f>IF(TableQCalcMain[[#This Row],[RowNumOfShownItems_Hard]]&lt;&gt;"",INDEX(TableQCalcMain[Description],TableQCalcMain[[#This Row],[RowNumOfShownItems_Hard]]),"")</f>
        <v/>
      </c>
      <c r="AC13" s="61" t="str">
        <f>IF(TableQCalcMain[[#This Row],[RowNumOfShownItems_Hard]]&lt;&gt;"",INDEX(TableQCalcMain[Harmonized_Code],TableQCalcMain[[#This Row],[RowNumOfShownItems_Hard]]),"")</f>
        <v/>
      </c>
      <c r="AD13" s="61" t="str">
        <f>IF(TableQCalcMain[[#This Row],[RowNumOfShownItems_Hard]]="","",INDEX(TableQCalcMain[Detailed_Ext_Price],TableQCalcMain[[#This Row],[RowNumOfShownItems_Hard]]))</f>
        <v/>
      </c>
      <c r="AE13" s="61" t="str">
        <f>IF(TableQCalcMain[[#This Row],[RowNumOfShownItems_Hard]]="","",INDEX(TableQCalcMain[Real_Quantity],TableQCalcMain[[#This Row],[RowNumOfShownItems_Hard]]))</f>
        <v/>
      </c>
      <c r="AF13" s="61" t="str">
        <f>IF(TableQCalcMain[[#This Row],[RowNumOfShownItems_Hard]]="","",
IF(IFERROR(
INDEX(TableQCalcMain[Unit_Price],TableQCalcMain[[#This Row],[RowNumOfShownItems_Hard]]),0)=0,"",
INDEX(TableQCalcMain[Unit_Price],TableQCalcMain[[#This Row],[RowNumOfShownItems_Hard]])
))</f>
        <v/>
      </c>
      <c r="AG13" s="61" t="str">
        <f>IF(TableQCalcMain[[#This Row],[RowNumOfShownItems_Hard]]="","",
IF(IFERROR(
INDEX(TableQCalcMain[Extended_price],TableQCalcMain[[#This Row],[RowNumOfShownItems_Hard]]),0)=0,"",
INDEX(TableQCalcMain[Extended_price],TableQCalcMain[[#This Row],[RowNumOfShownItems_Hard]])
))</f>
        <v/>
      </c>
      <c r="AH13" s="61" t="str">
        <f t="array" ref="AH13">IFERROR(MATCH(0,COUNTIF(AB$2:$AB12,TableQCalcMain[Description])+IF(TableQCalcMain[ShowHard]=0,1,0),0),"")</f>
        <v/>
      </c>
    </row>
    <row r="14" spans="1:37" x14ac:dyDescent="0.2">
      <c r="A14" s="545"/>
      <c r="B14" s="470" t="s">
        <v>329</v>
      </c>
      <c r="C14" s="61" t="str">
        <f>""</f>
        <v/>
      </c>
      <c r="D14" s="61">
        <f>IF(QUOTE_Split_SoftwareHardware,N($C$13),0)</f>
        <v>0</v>
      </c>
      <c r="E14" s="61">
        <v>1</v>
      </c>
      <c r="F14" s="61"/>
      <c r="G14" s="61">
        <f>TableQCalcMain[[#This Row],[ShowDesc?]]*TableQCalcMain[[#This Row],[Software]]</f>
        <v>0</v>
      </c>
      <c r="H14" s="61"/>
      <c r="I14" s="61" t="str">
        <f>"         • " &amp; IF(AND(QUOTE_Split_SoftwareHardware,QUOTE_InternetDownload),
IF(Francais,"Logiciels et documents d'instructions (fichiers PDF)","Software &amp; Instructions documents (PDF files)"),
IF(Francais,"Logiciel et documents d'instructions (" &amp; IF(QUOTE_InternetDownload,"sur clé USB","PDF") &amp; " et imprimés)","Software &amp; Instructions documents (" &amp; IF(QUOTE_InternetDownload,"on USB Key","PDF") &amp; " &amp; printed)"))
&amp;REPT(" ",1)</f>
        <v xml:space="preserve">         • Logiciel et documents d'instructions (PDF et imprimés) </v>
      </c>
      <c r="J14" s="61" t="str">
        <f>""</f>
        <v/>
      </c>
      <c r="K14" s="61" t="str">
        <f>""</f>
        <v/>
      </c>
      <c r="L14" s="61" t="str">
        <f>""</f>
        <v/>
      </c>
      <c r="M14" s="61" t="str">
        <f>""</f>
        <v/>
      </c>
      <c r="N14" s="72" t="str">
        <f>IF(TableQCalcMain[[#This Row],[RowNumOfShownItems_Unsplit]]&lt;&gt;"",INDEX(TableQCalcMain[Description],TableQCalcMain[[#This Row],[RowNumOfShownItems_Unsplit]]),"")</f>
        <v/>
      </c>
      <c r="O14" s="61" t="str">
        <f>IF(TableQCalcMain[[#This Row],[RowNumOfShownItems_Unsplit]]&lt;&gt;"",INDEX(TableQCalcMain[Harmonized_Code],TableQCalcMain[[#This Row],[RowNumOfShownItems_Unsplit]]),"")</f>
        <v/>
      </c>
      <c r="P14" s="61" t="str">
        <f>IF(TableQCalcMain[[#This Row],[RowNumOfShownItems_Unsplit]]="","",INDEX(TableQCalcMain[Detailed_Ext_Price],TableQCalcMain[[#This Row],[RowNumOfShownItems_Unsplit]]))</f>
        <v/>
      </c>
      <c r="Q14" s="61" t="str">
        <f>IF(TableQCalcMain[[#This Row],[RowNumOfShownItems_Unsplit]]="","",INDEX(TableQCalcMain[Real_Quantity],TableQCalcMain[[#This Row],[RowNumOfShownItems_Unsplit]]))</f>
        <v/>
      </c>
      <c r="R14" s="61" t="str">
        <f>IF(TableQCalcMain[[#This Row],[RowNumOfShownItems_Unsplit]]="","",
IF(IFERROR(
INDEX(TableQCalcMain[Unit_Price],TableQCalcMain[[#This Row],[RowNumOfShownItems_Unsplit]]),0)=0,"",
INDEX(TableQCalcMain[Unit_Price],TableQCalcMain[[#This Row],[RowNumOfShownItems_Unsplit]])
))</f>
        <v/>
      </c>
      <c r="S14" s="61" t="str">
        <f>IF(TableQCalcMain[[#This Row],[RowNumOfShownItems_Unsplit]]="","",
IF(IFERROR(
INDEX(TableQCalcMain[Extended_price],TableQCalcMain[[#This Row],[RowNumOfShownItems_Unsplit]]),0)=0,"",
INDEX(TableQCalcMain[Extended_price],TableQCalcMain[[#This Row],[RowNumOfShownItems_Unsplit]])
))</f>
        <v/>
      </c>
      <c r="T14" t="str">
        <f t="array" ref="T14">IFERROR(MATCH(0,COUNTIF(N$2:$N13,TableQCalcMain[Description])+IF(TableQCalcMain[ShowDesc?]=0,1,0),0),"")</f>
        <v/>
      </c>
      <c r="U14" s="61" t="str">
        <f>IF(TableQCalcMain[[#This Row],[RowNumOfShownItems_SOFT]]&lt;&gt;"",INDEX(TableQCalcMain[Description],TableQCalcMain[[#This Row],[RowNumOfShownItems_SOFT]]),"")</f>
        <v/>
      </c>
      <c r="V14" s="61" t="str">
        <f>IF(TableQCalcMain[[#This Row],[RowNumOfShownItems_SOFT]]&lt;&gt;"",INDEX(TableQCalcMain[Harmonized_Code],TableQCalcMain[[#This Row],[RowNumOfShownItems_SOFT]]),"")</f>
        <v/>
      </c>
      <c r="W14" s="61" t="str">
        <f>IF(TableQCalcMain[[#This Row],[RowNumOfShownItems_SOFT]]="","",INDEX(TableQCalcMain[Detailed_Ext_Price],TableQCalcMain[[#This Row],[RowNumOfShownItems_SOFT]]))</f>
        <v/>
      </c>
      <c r="X14" s="61" t="str">
        <f>IF(TableQCalcMain[[#This Row],[RowNumOfShownItems_SOFT]]="","",INDEX(TableQCalcMain[Real_Quantity],TableQCalcMain[[#This Row],[RowNumOfShownItems_SOFT]]))</f>
        <v/>
      </c>
      <c r="Y14" s="61" t="str">
        <f>IF(TableQCalcMain[[#This Row],[RowNumOfShownItems_SOFT]]="","",INDEX(TableQCalcMain[Unit_Price],TableQCalcMain[[#This Row],[RowNumOfShownItems_SOFT]]))</f>
        <v/>
      </c>
      <c r="Z14" s="61" t="str">
        <f>IF(TableQCalcMain[[#This Row],[RowNumOfShownItems_SOFT]]="","",INDEX(TableQCalcMain[Extended_price],TableQCalcMain[[#This Row],[RowNumOfShownItems_SOFT]]))</f>
        <v/>
      </c>
      <c r="AA14" t="str">
        <f t="array" ref="AA14">IFERROR(MATCH(0,COUNTIF(U$2:$U13,TableQCalcMain[Description])+IF(TableQCalcMain[ShowSoft]=0,1,0),0),"")</f>
        <v/>
      </c>
      <c r="AB14" s="61" t="str">
        <f>IF(TableQCalcMain[[#This Row],[RowNumOfShownItems_Hard]]&lt;&gt;"",INDEX(TableQCalcMain[Description],TableQCalcMain[[#This Row],[RowNumOfShownItems_Hard]]),"")</f>
        <v/>
      </c>
      <c r="AC14" s="61" t="str">
        <f>IF(TableQCalcMain[[#This Row],[RowNumOfShownItems_Hard]]&lt;&gt;"",INDEX(TableQCalcMain[Harmonized_Code],TableQCalcMain[[#This Row],[RowNumOfShownItems_Hard]]),"")</f>
        <v/>
      </c>
      <c r="AD14" s="61" t="str">
        <f>IF(TableQCalcMain[[#This Row],[RowNumOfShownItems_Hard]]="","",INDEX(TableQCalcMain[Detailed_Ext_Price],TableQCalcMain[[#This Row],[RowNumOfShownItems_Hard]]))</f>
        <v/>
      </c>
      <c r="AE14" s="61" t="str">
        <f>IF(TableQCalcMain[[#This Row],[RowNumOfShownItems_Hard]]="","",INDEX(TableQCalcMain[Real_Quantity],TableQCalcMain[[#This Row],[RowNumOfShownItems_Hard]]))</f>
        <v/>
      </c>
      <c r="AF14" s="61" t="str">
        <f>IF(TableQCalcMain[[#This Row],[RowNumOfShownItems_Hard]]="","",
IF(IFERROR(
INDEX(TableQCalcMain[Unit_Price],TableQCalcMain[[#This Row],[RowNumOfShownItems_Hard]]),0)=0,"",
INDEX(TableQCalcMain[Unit_Price],TableQCalcMain[[#This Row],[RowNumOfShownItems_Hard]])
))</f>
        <v/>
      </c>
      <c r="AG14" s="61" t="str">
        <f>IF(TableQCalcMain[[#This Row],[RowNumOfShownItems_Hard]]="","",
IF(IFERROR(
INDEX(TableQCalcMain[Extended_price],TableQCalcMain[[#This Row],[RowNumOfShownItems_Hard]]),0)=0,"",
INDEX(TableQCalcMain[Extended_price],TableQCalcMain[[#This Row],[RowNumOfShownItems_Hard]])
))</f>
        <v/>
      </c>
      <c r="AH14" s="61" t="str">
        <f t="array" ref="AH14">IFERROR(MATCH(0,COUNTIF(AB$2:$AB13,TableQCalcMain[Description])+IF(TableQCalcMain[ShowHard]=0,1,0),0),"")</f>
        <v/>
      </c>
    </row>
    <row r="15" spans="1:37" x14ac:dyDescent="0.2">
      <c r="A15" s="545"/>
      <c r="B15" s="538" t="str">
        <f>B11&amp;"Upd"</f>
        <v>DENDRO System Calib ManualUpd</v>
      </c>
      <c r="C15" s="538" t="str">
        <f>""</f>
        <v/>
      </c>
      <c r="D15" s="764">
        <f>IF(AND(D3&gt;0,D4=0),IF(NOT(AND(DENDRO_ChkBox_UpgradeUpdate,DENDRO_ChkB_RemoteUpdate,QUOTE_Split_SoftwareHardware)),D8,1),0)</f>
        <v>0</v>
      </c>
      <c r="E15" s="538">
        <v>1</v>
      </c>
      <c r="F15" s="538">
        <v>0</v>
      </c>
      <c r="G15" s="538">
        <f>TableQCalcMain[[#This Row],[ShowDesc?]]*TableQCalcMain[[#This Row],[Software]]</f>
        <v>0</v>
      </c>
      <c r="H15" s="538">
        <f>TableQCalcMain[[#This Row],[ShowDesc?]]*TableQCalcMain[[#This Row],[Hardware]]</f>
        <v>0</v>
      </c>
      <c r="I15" s="538" t="str">
        <f>"         • " &amp; IF(Francais,
"Calibration Scanner, Instructions," &amp; IF(OR(LEFT(TableQCalcMain[[#This Row],[Variable / Product ID]],3)="RHI",LEFT(TableQCalcMain[[#This Row],[Variable / Product ID]],3)="SEE")," Didacticiel vidéo,","") &amp; " Pilote TWAIN " &amp; "&amp;" &amp; " Support Technique",
"Scanner Calibration, Instructions," &amp; IF(OR(LEFT(TableQCalcMain[[#This Row],[Variable / Product ID]],3)="RHI",LEFT(TableQCalcMain[[#This Row],[Variable / Product ID]],3)="SEE")," Video tutorial,","") &amp; " TWAIN driver " &amp; "&amp;" &amp; " Technical support")
&amp; IF(LEFT(TableQCalcMain[[#This Row],[Variable / Product ID]],3)="DEN",REPT(" ",5),
IF(LEFT(TableQCalcMain[[#This Row],[Variable / Product ID]],3)="RHI",REPT(" ",6),
IF(LEFT(TableQCalcMain[[#This Row],[Variable / Product ID]],3)="FOL",REPT(" ",7),
IF(LEFT(TableQCalcMain[[#This Row],[Variable / Product ID]],3)="SEE",REPT(" ",8),
IF(LEFT(TableQCalcMain[[#This Row],[Variable / Product ID]],3)="CAM",REPT(" ",9),"")))))</f>
        <v xml:space="preserve">         • Calibration Scanner, Instructions, Pilote TWAIN &amp; Support Technique     </v>
      </c>
      <c r="J15" s="538" t="str">
        <f>J11</f>
        <v/>
      </c>
      <c r="K15" s="538">
        <f>K11</f>
        <v>0</v>
      </c>
      <c r="L15" s="538" t="str">
        <f>IF(QUOTE_Split_SoftwareHardware,TableQCalcMain[[#This Row],[Detailed_Ext_Price]]/TableQCalcMain[[#This Row],[ShowDesc?]],"")</f>
        <v/>
      </c>
      <c r="M15" s="538">
        <f>M11</f>
        <v>0</v>
      </c>
      <c r="N15" s="72" t="str">
        <f>IF(TableQCalcMain[[#This Row],[RowNumOfShownItems_Unsplit]]&lt;&gt;"",INDEX(TableQCalcMain[Description],TableQCalcMain[[#This Row],[RowNumOfShownItems_Unsplit]]),"")</f>
        <v/>
      </c>
      <c r="O15" s="61" t="str">
        <f>IF(TableQCalcMain[[#This Row],[RowNumOfShownItems_Unsplit]]&lt;&gt;"",INDEX(TableQCalcMain[Harmonized_Code],TableQCalcMain[[#This Row],[RowNumOfShownItems_Unsplit]]),"")</f>
        <v/>
      </c>
      <c r="P15" s="61" t="str">
        <f>IF(TableQCalcMain[[#This Row],[RowNumOfShownItems_Unsplit]]="","",INDEX(TableQCalcMain[Detailed_Ext_Price],TableQCalcMain[[#This Row],[RowNumOfShownItems_Unsplit]]))</f>
        <v/>
      </c>
      <c r="Q15" s="61" t="str">
        <f>IF(TableQCalcMain[[#This Row],[RowNumOfShownItems_Unsplit]]="","",INDEX(TableQCalcMain[Real_Quantity],TableQCalcMain[[#This Row],[RowNumOfShownItems_Unsplit]]))</f>
        <v/>
      </c>
      <c r="R15" s="61" t="str">
        <f>IF(TableQCalcMain[[#This Row],[RowNumOfShownItems_Unsplit]]="","",
IF(IFERROR(
INDEX(TableQCalcMain[Unit_Price],TableQCalcMain[[#This Row],[RowNumOfShownItems_Unsplit]]),0)=0,"",
INDEX(TableQCalcMain[Unit_Price],TableQCalcMain[[#This Row],[RowNumOfShownItems_Unsplit]])
))</f>
        <v/>
      </c>
      <c r="S15" s="61" t="str">
        <f>IF(TableQCalcMain[[#This Row],[RowNumOfShownItems_Unsplit]]="","",
IF(IFERROR(
INDEX(TableQCalcMain[Extended_price],TableQCalcMain[[#This Row],[RowNumOfShownItems_Unsplit]]),0)=0,"",
INDEX(TableQCalcMain[Extended_price],TableQCalcMain[[#This Row],[RowNumOfShownItems_Unsplit]])
))</f>
        <v/>
      </c>
      <c r="T15" t="str">
        <f t="array" ref="T15">IFERROR(MATCH(0,COUNTIF(N$2:$N14,TableQCalcMain[Description])+IF(TableQCalcMain[ShowDesc?]=0,1,0),0),"")</f>
        <v/>
      </c>
      <c r="U15" s="61" t="str">
        <f>IF(TableQCalcMain[[#This Row],[RowNumOfShownItems_SOFT]]&lt;&gt;"",INDEX(TableQCalcMain[Description],TableQCalcMain[[#This Row],[RowNumOfShownItems_SOFT]]),"")</f>
        <v/>
      </c>
      <c r="V15" s="61" t="str">
        <f>IF(TableQCalcMain[[#This Row],[RowNumOfShownItems_SOFT]]&lt;&gt;"",INDEX(TableQCalcMain[Harmonized_Code],TableQCalcMain[[#This Row],[RowNumOfShownItems_SOFT]]),"")</f>
        <v/>
      </c>
      <c r="W15" s="61" t="str">
        <f>IF(TableQCalcMain[[#This Row],[RowNumOfShownItems_SOFT]]="","",INDEX(TableQCalcMain[Detailed_Ext_Price],TableQCalcMain[[#This Row],[RowNumOfShownItems_SOFT]]))</f>
        <v/>
      </c>
      <c r="X15" s="61" t="str">
        <f>IF(TableQCalcMain[[#This Row],[RowNumOfShownItems_SOFT]]="","",INDEX(TableQCalcMain[Real_Quantity],TableQCalcMain[[#This Row],[RowNumOfShownItems_SOFT]]))</f>
        <v/>
      </c>
      <c r="Y15" s="61" t="str">
        <f>IF(TableQCalcMain[[#This Row],[RowNumOfShownItems_SOFT]]="","",INDEX(TableQCalcMain[Unit_Price],TableQCalcMain[[#This Row],[RowNumOfShownItems_SOFT]]))</f>
        <v/>
      </c>
      <c r="Z15" s="61" t="str">
        <f>IF(TableQCalcMain[[#This Row],[RowNumOfShownItems_SOFT]]="","",INDEX(TableQCalcMain[Extended_price],TableQCalcMain[[#This Row],[RowNumOfShownItems_SOFT]]))</f>
        <v/>
      </c>
      <c r="AA15" t="str">
        <f t="array" ref="AA15">IFERROR(MATCH(0,COUNTIF(U$2:$U14,TableQCalcMain[Description])+IF(TableQCalcMain[ShowSoft]=0,1,0),0),"")</f>
        <v/>
      </c>
      <c r="AB15" s="61" t="str">
        <f>IF(TableQCalcMain[[#This Row],[RowNumOfShownItems_Hard]]&lt;&gt;"",INDEX(TableQCalcMain[Description],TableQCalcMain[[#This Row],[RowNumOfShownItems_Hard]]),"")</f>
        <v/>
      </c>
      <c r="AC15" s="61" t="str">
        <f>IF(TableQCalcMain[[#This Row],[RowNumOfShownItems_Hard]]&lt;&gt;"",INDEX(TableQCalcMain[Harmonized_Code],TableQCalcMain[[#This Row],[RowNumOfShownItems_Hard]]),"")</f>
        <v/>
      </c>
      <c r="AD15" s="61" t="str">
        <f>IF(TableQCalcMain[[#This Row],[RowNumOfShownItems_Hard]]="","",INDEX(TableQCalcMain[Detailed_Ext_Price],TableQCalcMain[[#This Row],[RowNumOfShownItems_Hard]]))</f>
        <v/>
      </c>
      <c r="AE15" s="61" t="str">
        <f>IF(TableQCalcMain[[#This Row],[RowNumOfShownItems_Hard]]="","",INDEX(TableQCalcMain[Real_Quantity],TableQCalcMain[[#This Row],[RowNumOfShownItems_Hard]]))</f>
        <v/>
      </c>
      <c r="AF15" s="61" t="str">
        <f>IF(TableQCalcMain[[#This Row],[RowNumOfShownItems_Hard]]="","",
IF(IFERROR(
INDEX(TableQCalcMain[Unit_Price],TableQCalcMain[[#This Row],[RowNumOfShownItems_Hard]]),0)=0,"",
INDEX(TableQCalcMain[Unit_Price],TableQCalcMain[[#This Row],[RowNumOfShownItems_Hard]])
))</f>
        <v/>
      </c>
      <c r="AG15" s="61" t="str">
        <f>IF(TableQCalcMain[[#This Row],[RowNumOfShownItems_Hard]]="","",
IF(IFERROR(
INDEX(TableQCalcMain[Extended_price],TableQCalcMain[[#This Row],[RowNumOfShownItems_Hard]]),0)=0,"",
INDEX(TableQCalcMain[Extended_price],TableQCalcMain[[#This Row],[RowNumOfShownItems_Hard]])
))</f>
        <v/>
      </c>
      <c r="AH15" s="61" t="str">
        <f t="array" ref="AH15">IFERROR(MATCH(0,COUNTIF(AB$2:$AB14,TableQCalcMain[Description])+IF(TableQCalcMain[ShowHard]=0,1,0),0),"")</f>
        <v/>
      </c>
    </row>
    <row r="16" spans="1:37" x14ac:dyDescent="0.2">
      <c r="A16" s="545"/>
      <c r="B16" s="61" t="s">
        <v>56</v>
      </c>
      <c r="C16" s="61">
        <f>IF(TableQCalcMain[[#This Row],[Unit_Price]]&gt;0,TableQCalcMain[[#This Row],[ShowDesc?]],0)</f>
        <v>0</v>
      </c>
      <c r="D16" s="61">
        <f>IF(TableQCalcMain[[#This Row],[Unit_Price]]&gt;0,DENDRO_Option1-1,0)</f>
        <v>0</v>
      </c>
      <c r="E16" s="61"/>
      <c r="F16" s="61">
        <v>1</v>
      </c>
      <c r="G16" s="61">
        <f>TableQCalcMain[[#This Row],[ShowDesc?]]*TableQCalcMain[[#This Row],[Software]]</f>
        <v>0</v>
      </c>
      <c r="H16" s="61">
        <f>TableQCalcMain[[#This Row],[ShowDesc?]]*TableQCalcMain[[#This Row],[Hardware]]</f>
        <v>0</v>
      </c>
      <c r="I16" s="61" t="str">
        <f>WinDENDRO!$D23</f>
        <v>Étalon de réflectance bleue</v>
      </c>
      <c r="J16" s="61">
        <f>WinDENDRO!$I$22</f>
        <v>847330</v>
      </c>
      <c r="K16" s="61" t="str">
        <f>""</f>
        <v/>
      </c>
      <c r="L16" s="61">
        <f>ROUND(
IF(Distributeurs_Rabais,IFERROR(WinDENDRO!#REF!,0),WinDENDRO!G23),
2)</f>
        <v>0</v>
      </c>
      <c r="M16" s="61" t="str">
        <f>IFERROR(
IF(TableQCalcMain[[#This Row],[Unit_Price]]*TableQCalcMain[[#This Row],[Real_Quantity]]&gt;0,
TableQCalcMain[[#This Row],[Unit_Price]]*TableQCalcMain[[#This Row],[Real_Quantity]],""),"")</f>
        <v/>
      </c>
      <c r="N16" s="72" t="str">
        <f>IF(TableQCalcMain[[#This Row],[RowNumOfShownItems_Unsplit]]&lt;&gt;"",INDEX(TableQCalcMain[Description],TableQCalcMain[[#This Row],[RowNumOfShownItems_Unsplit]]),"")</f>
        <v/>
      </c>
      <c r="O16" s="61" t="str">
        <f>IF(TableQCalcMain[[#This Row],[RowNumOfShownItems_Unsplit]]&lt;&gt;"",INDEX(TableQCalcMain[Harmonized_Code],TableQCalcMain[[#This Row],[RowNumOfShownItems_Unsplit]]),"")</f>
        <v/>
      </c>
      <c r="P16" s="61" t="str">
        <f>IF(TableQCalcMain[[#This Row],[RowNumOfShownItems_Unsplit]]="","",INDEX(TableQCalcMain[Detailed_Ext_Price],TableQCalcMain[[#This Row],[RowNumOfShownItems_Unsplit]]))</f>
        <v/>
      </c>
      <c r="Q16" s="61" t="str">
        <f>IF(TableQCalcMain[[#This Row],[RowNumOfShownItems_Unsplit]]="","",INDEX(TableQCalcMain[Real_Quantity],TableQCalcMain[[#This Row],[RowNumOfShownItems_Unsplit]]))</f>
        <v/>
      </c>
      <c r="R16" s="61" t="str">
        <f>IF(TableQCalcMain[[#This Row],[RowNumOfShownItems_Unsplit]]="","",
IF(IFERROR(
INDEX(TableQCalcMain[Unit_Price],TableQCalcMain[[#This Row],[RowNumOfShownItems_Unsplit]]),0)=0,"",
INDEX(TableQCalcMain[Unit_Price],TableQCalcMain[[#This Row],[RowNumOfShownItems_Unsplit]])
))</f>
        <v/>
      </c>
      <c r="S16" s="61" t="str">
        <f>IF(TableQCalcMain[[#This Row],[RowNumOfShownItems_Unsplit]]="","",
IF(IFERROR(
INDEX(TableQCalcMain[Extended_price],TableQCalcMain[[#This Row],[RowNumOfShownItems_Unsplit]]),0)=0,"",
INDEX(TableQCalcMain[Extended_price],TableQCalcMain[[#This Row],[RowNumOfShownItems_Unsplit]])
))</f>
        <v/>
      </c>
      <c r="T16" t="str">
        <f t="array" ref="T16">IFERROR(MATCH(0,COUNTIF(N$2:$N15,TableQCalcMain[Description])+IF(TableQCalcMain[ShowDesc?]=0,1,0),0),"")</f>
        <v/>
      </c>
      <c r="U16" s="61" t="str">
        <f>IF(TableQCalcMain[[#This Row],[RowNumOfShownItems_SOFT]]&lt;&gt;"",INDEX(TableQCalcMain[Description],TableQCalcMain[[#This Row],[RowNumOfShownItems_SOFT]]),"")</f>
        <v/>
      </c>
      <c r="V16" s="61" t="str">
        <f>IF(TableQCalcMain[[#This Row],[RowNumOfShownItems_SOFT]]&lt;&gt;"",INDEX(TableQCalcMain[Harmonized_Code],TableQCalcMain[[#This Row],[RowNumOfShownItems_SOFT]]),"")</f>
        <v/>
      </c>
      <c r="W16" s="61" t="str">
        <f>IF(TableQCalcMain[[#This Row],[RowNumOfShownItems_SOFT]]="","",INDEX(TableQCalcMain[Detailed_Ext_Price],TableQCalcMain[[#This Row],[RowNumOfShownItems_SOFT]]))</f>
        <v/>
      </c>
      <c r="X16" s="61" t="str">
        <f>IF(TableQCalcMain[[#This Row],[RowNumOfShownItems_SOFT]]="","",INDEX(TableQCalcMain[Real_Quantity],TableQCalcMain[[#This Row],[RowNumOfShownItems_SOFT]]))</f>
        <v/>
      </c>
      <c r="Y16" s="61" t="str">
        <f>IF(TableQCalcMain[[#This Row],[RowNumOfShownItems_SOFT]]="","",INDEX(TableQCalcMain[Unit_Price],TableQCalcMain[[#This Row],[RowNumOfShownItems_SOFT]]))</f>
        <v/>
      </c>
      <c r="Z16" s="61" t="str">
        <f>IF(TableQCalcMain[[#This Row],[RowNumOfShownItems_SOFT]]="","",INDEX(TableQCalcMain[Extended_price],TableQCalcMain[[#This Row],[RowNumOfShownItems_SOFT]]))</f>
        <v/>
      </c>
      <c r="AA16" t="str">
        <f t="array" ref="AA16">IFERROR(MATCH(0,COUNTIF(U$2:$U15,TableQCalcMain[Description])+IF(TableQCalcMain[ShowSoft]=0,1,0),0),"")</f>
        <v/>
      </c>
      <c r="AB16" s="61" t="str">
        <f>IF(TableQCalcMain[[#This Row],[RowNumOfShownItems_Hard]]&lt;&gt;"",INDEX(TableQCalcMain[Description],TableQCalcMain[[#This Row],[RowNumOfShownItems_Hard]]),"")</f>
        <v/>
      </c>
      <c r="AC16" s="61" t="str">
        <f>IF(TableQCalcMain[[#This Row],[RowNumOfShownItems_Hard]]&lt;&gt;"",INDEX(TableQCalcMain[Harmonized_Code],TableQCalcMain[[#This Row],[RowNumOfShownItems_Hard]]),"")</f>
        <v/>
      </c>
      <c r="AD16" s="61" t="str">
        <f>IF(TableQCalcMain[[#This Row],[RowNumOfShownItems_Hard]]="","",INDEX(TableQCalcMain[Detailed_Ext_Price],TableQCalcMain[[#This Row],[RowNumOfShownItems_Hard]]))</f>
        <v/>
      </c>
      <c r="AE16" s="61" t="str">
        <f>IF(TableQCalcMain[[#This Row],[RowNumOfShownItems_Hard]]="","",INDEX(TableQCalcMain[Real_Quantity],TableQCalcMain[[#This Row],[RowNumOfShownItems_Hard]]))</f>
        <v/>
      </c>
      <c r="AF16" s="61" t="str">
        <f>IF(TableQCalcMain[[#This Row],[RowNumOfShownItems_Hard]]="","",
IF(IFERROR(
INDEX(TableQCalcMain[Unit_Price],TableQCalcMain[[#This Row],[RowNumOfShownItems_Hard]]),0)=0,"",
INDEX(TableQCalcMain[Unit_Price],TableQCalcMain[[#This Row],[RowNumOfShownItems_Hard]])
))</f>
        <v/>
      </c>
      <c r="AG16" s="61" t="str">
        <f>IF(TableQCalcMain[[#This Row],[RowNumOfShownItems_Hard]]="","",
IF(IFERROR(
INDEX(TableQCalcMain[Extended_price],TableQCalcMain[[#This Row],[RowNumOfShownItems_Hard]]),0)=0,"",
INDEX(TableQCalcMain[Extended_price],TableQCalcMain[[#This Row],[RowNumOfShownItems_Hard]])
))</f>
        <v/>
      </c>
      <c r="AH16" s="61" t="str">
        <f t="array" ref="AH16">IFERROR(MATCH(0,COUNTIF(AB$2:$AB15,TableQCalcMain[Description])+IF(TableQCalcMain[ShowHard]=0,1,0),0),"")</f>
        <v/>
      </c>
    </row>
    <row r="17" spans="1:34" x14ac:dyDescent="0.2">
      <c r="A17" s="545"/>
      <c r="B17" s="61" t="s">
        <v>57</v>
      </c>
      <c r="C17" s="61">
        <f>IF(TableQCalcMain[[#This Row],[Unit_Price]]&gt;0,TableQCalcMain[[#This Row],[ShowDesc?]],"")</f>
        <v>0</v>
      </c>
      <c r="D17" s="61">
        <f>IF(TableQCalcMain[[#This Row],[Unit_Price]]&gt;0,DENDRO_Option2-1,0)</f>
        <v>0</v>
      </c>
      <c r="E17" s="61"/>
      <c r="F17" s="61">
        <v>1</v>
      </c>
      <c r="G17" s="61">
        <f>TableQCalcMain[[#This Row],[ShowDesc?]]*TableQCalcMain[[#This Row],[Software]]</f>
        <v>0</v>
      </c>
      <c r="H17" s="61">
        <f>TableQCalcMain[[#This Row],[ShowDesc?]]*TableQCalcMain[[#This Row],[Hardware]]</f>
        <v>0</v>
      </c>
      <c r="I17" s="61" t="str">
        <f>WinDENDRO!$D24</f>
        <v>Support pour carottes 22 cm (pour scanners STD &amp; LA)</v>
      </c>
      <c r="J17" s="61">
        <f>J16</f>
        <v>847330</v>
      </c>
      <c r="K17" s="61" t="str">
        <f>""</f>
        <v/>
      </c>
      <c r="L17" s="61">
        <f>ROUND(
IF(Distributeurs_Rabais,IFERROR(WinDENDRO!#REF!,0),WinDENDRO!G24),
2)</f>
        <v>174</v>
      </c>
      <c r="M17" s="61" t="str">
        <f>IFERROR(
IF(TableQCalcMain[[#This Row],[Unit_Price]]*TableQCalcMain[[#This Row],[Real_Quantity]]&gt;0,
TableQCalcMain[[#This Row],[Unit_Price]]*TableQCalcMain[[#This Row],[Real_Quantity]],""),"")</f>
        <v/>
      </c>
      <c r="N17" s="72" t="str">
        <f>IF(TableQCalcMain[[#This Row],[RowNumOfShownItems_Unsplit]]&lt;&gt;"",INDEX(TableQCalcMain[Description],TableQCalcMain[[#This Row],[RowNumOfShownItems_Unsplit]]),"")</f>
        <v/>
      </c>
      <c r="O17" s="61" t="str">
        <f>IF(TableQCalcMain[[#This Row],[RowNumOfShownItems_Unsplit]]&lt;&gt;"",INDEX(TableQCalcMain[Harmonized_Code],TableQCalcMain[[#This Row],[RowNumOfShownItems_Unsplit]]),"")</f>
        <v/>
      </c>
      <c r="P17" s="61" t="str">
        <f>IF(TableQCalcMain[[#This Row],[RowNumOfShownItems_Unsplit]]="","",INDEX(TableQCalcMain[Detailed_Ext_Price],TableQCalcMain[[#This Row],[RowNumOfShownItems_Unsplit]]))</f>
        <v/>
      </c>
      <c r="Q17" s="61" t="str">
        <f>IF(TableQCalcMain[[#This Row],[RowNumOfShownItems_Unsplit]]="","",INDEX(TableQCalcMain[Real_Quantity],TableQCalcMain[[#This Row],[RowNumOfShownItems_Unsplit]]))</f>
        <v/>
      </c>
      <c r="R17" s="61" t="str">
        <f>IF(TableQCalcMain[[#This Row],[RowNumOfShownItems_Unsplit]]="","",
IF(IFERROR(
INDEX(TableQCalcMain[Unit_Price],TableQCalcMain[[#This Row],[RowNumOfShownItems_Unsplit]]),0)=0,"",
INDEX(TableQCalcMain[Unit_Price],TableQCalcMain[[#This Row],[RowNumOfShownItems_Unsplit]])
))</f>
        <v/>
      </c>
      <c r="S17" s="61" t="str">
        <f>IF(TableQCalcMain[[#This Row],[RowNumOfShownItems_Unsplit]]="","",
IF(IFERROR(
INDEX(TableQCalcMain[Extended_price],TableQCalcMain[[#This Row],[RowNumOfShownItems_Unsplit]]),0)=0,"",
INDEX(TableQCalcMain[Extended_price],TableQCalcMain[[#This Row],[RowNumOfShownItems_Unsplit]])
))</f>
        <v/>
      </c>
      <c r="T17" t="str">
        <f t="array" ref="T17">IFERROR(MATCH(0,COUNTIF(N$2:$N16,TableQCalcMain[Description])+IF(TableQCalcMain[ShowDesc?]=0,1,0),0),"")</f>
        <v/>
      </c>
      <c r="U17" s="61" t="str">
        <f>IF(TableQCalcMain[[#This Row],[RowNumOfShownItems_SOFT]]&lt;&gt;"",INDEX(TableQCalcMain[Description],TableQCalcMain[[#This Row],[RowNumOfShownItems_SOFT]]),"")</f>
        <v/>
      </c>
      <c r="V17" s="61" t="str">
        <f>IF(TableQCalcMain[[#This Row],[RowNumOfShownItems_SOFT]]&lt;&gt;"",INDEX(TableQCalcMain[Harmonized_Code],TableQCalcMain[[#This Row],[RowNumOfShownItems_SOFT]]),"")</f>
        <v/>
      </c>
      <c r="W17" s="61" t="str">
        <f>IF(TableQCalcMain[[#This Row],[RowNumOfShownItems_SOFT]]="","",INDEX(TableQCalcMain[Detailed_Ext_Price],TableQCalcMain[[#This Row],[RowNumOfShownItems_SOFT]]))</f>
        <v/>
      </c>
      <c r="X17" s="61" t="str">
        <f>IF(TableQCalcMain[[#This Row],[RowNumOfShownItems_SOFT]]="","",INDEX(TableQCalcMain[Real_Quantity],TableQCalcMain[[#This Row],[RowNumOfShownItems_SOFT]]))</f>
        <v/>
      </c>
      <c r="Y17" s="61" t="str">
        <f>IF(TableQCalcMain[[#This Row],[RowNumOfShownItems_SOFT]]="","",INDEX(TableQCalcMain[Unit_Price],TableQCalcMain[[#This Row],[RowNumOfShownItems_SOFT]]))</f>
        <v/>
      </c>
      <c r="Z17" s="61" t="str">
        <f>IF(TableQCalcMain[[#This Row],[RowNumOfShownItems_SOFT]]="","",INDEX(TableQCalcMain[Extended_price],TableQCalcMain[[#This Row],[RowNumOfShownItems_SOFT]]))</f>
        <v/>
      </c>
      <c r="AA17" t="str">
        <f t="array" ref="AA17">IFERROR(MATCH(0,COUNTIF(U$2:$U16,TableQCalcMain[Description])+IF(TableQCalcMain[ShowSoft]=0,1,0),0),"")</f>
        <v/>
      </c>
      <c r="AB17" s="61" t="str">
        <f>IF(TableQCalcMain[[#This Row],[RowNumOfShownItems_Hard]]&lt;&gt;"",INDEX(TableQCalcMain[Description],TableQCalcMain[[#This Row],[RowNumOfShownItems_Hard]]),"")</f>
        <v/>
      </c>
      <c r="AC17" s="61" t="str">
        <f>IF(TableQCalcMain[[#This Row],[RowNumOfShownItems_Hard]]&lt;&gt;"",INDEX(TableQCalcMain[Harmonized_Code],TableQCalcMain[[#This Row],[RowNumOfShownItems_Hard]]),"")</f>
        <v/>
      </c>
      <c r="AD17" s="61" t="str">
        <f>IF(TableQCalcMain[[#This Row],[RowNumOfShownItems_Hard]]="","",INDEX(TableQCalcMain[Detailed_Ext_Price],TableQCalcMain[[#This Row],[RowNumOfShownItems_Hard]]))</f>
        <v/>
      </c>
      <c r="AE17" s="61" t="str">
        <f>IF(TableQCalcMain[[#This Row],[RowNumOfShownItems_Hard]]="","",INDEX(TableQCalcMain[Real_Quantity],TableQCalcMain[[#This Row],[RowNumOfShownItems_Hard]]))</f>
        <v/>
      </c>
      <c r="AF17" s="61" t="str">
        <f>IF(TableQCalcMain[[#This Row],[RowNumOfShownItems_Hard]]="","",
IF(IFERROR(
INDEX(TableQCalcMain[Unit_Price],TableQCalcMain[[#This Row],[RowNumOfShownItems_Hard]]),0)=0,"",
INDEX(TableQCalcMain[Unit_Price],TableQCalcMain[[#This Row],[RowNumOfShownItems_Hard]])
))</f>
        <v/>
      </c>
      <c r="AG17" s="61" t="str">
        <f>IF(TableQCalcMain[[#This Row],[RowNumOfShownItems_Hard]]="","",
IF(IFERROR(
INDEX(TableQCalcMain[Extended_price],TableQCalcMain[[#This Row],[RowNumOfShownItems_Hard]]),0)=0,"",
INDEX(TableQCalcMain[Extended_price],TableQCalcMain[[#This Row],[RowNumOfShownItems_Hard]])
))</f>
        <v/>
      </c>
      <c r="AH17" s="61" t="str">
        <f t="array" ref="AH17">IFERROR(MATCH(0,COUNTIF(AB$2:$AB16,TableQCalcMain[Description])+IF(TableQCalcMain[ShowHard]=0,1,0),0),"")</f>
        <v/>
      </c>
    </row>
    <row r="18" spans="1:34" x14ac:dyDescent="0.2">
      <c r="A18" s="545"/>
      <c r="B18" s="61" t="s">
        <v>58</v>
      </c>
      <c r="C18" s="61">
        <f>IF(TableQCalcMain[[#This Row],[Unit_Price]]&gt;0,TableQCalcMain[[#This Row],[ShowDesc?]],0)</f>
        <v>0</v>
      </c>
      <c r="D18" s="61">
        <f>IF(TableQCalcMain[[#This Row],[Unit_Price]]&gt;0,DENDRO_Option3-1,0)</f>
        <v>0</v>
      </c>
      <c r="E18" s="61"/>
      <c r="F18" s="61">
        <v>1</v>
      </c>
      <c r="G18" s="61">
        <f>TableQCalcMain[[#This Row],[ShowDesc?]]*TableQCalcMain[[#This Row],[Software]]</f>
        <v>0</v>
      </c>
      <c r="H18" s="61">
        <f>TableQCalcMain[[#This Row],[ShowDesc?]]*TableQCalcMain[[#This Row],[Hardware]]</f>
        <v>0</v>
      </c>
      <c r="I18" s="61" t="str">
        <f>WinDENDRO!$D25</f>
        <v>Support pour carottes 36 cm (pour scanners LA seulement)</v>
      </c>
      <c r="J18" s="61">
        <f>J16</f>
        <v>847330</v>
      </c>
      <c r="K18" s="61" t="str">
        <f>""</f>
        <v/>
      </c>
      <c r="L18" s="61">
        <f>ROUND(
IF(Distributeurs_Rabais,IFERROR(WinDENDRO!#REF!,0),WinDENDRO!G25),
2)</f>
        <v>0</v>
      </c>
      <c r="M18" s="61" t="str">
        <f>IFERROR(
IF(TableQCalcMain[[#This Row],[Unit_Price]]*TableQCalcMain[[#This Row],[Real_Quantity]]&gt;0,
TableQCalcMain[[#This Row],[Unit_Price]]*TableQCalcMain[[#This Row],[Real_Quantity]],""),"")</f>
        <v/>
      </c>
      <c r="N18" s="72" t="str">
        <f>IF(TableQCalcMain[[#This Row],[RowNumOfShownItems_Unsplit]]&lt;&gt;"",INDEX(TableQCalcMain[Description],TableQCalcMain[[#This Row],[RowNumOfShownItems_Unsplit]]),"")</f>
        <v/>
      </c>
      <c r="O18" s="61" t="str">
        <f>IF(TableQCalcMain[[#This Row],[RowNumOfShownItems_Unsplit]]&lt;&gt;"",INDEX(TableQCalcMain[Harmonized_Code],TableQCalcMain[[#This Row],[RowNumOfShownItems_Unsplit]]),"")</f>
        <v/>
      </c>
      <c r="P18" s="61" t="str">
        <f>IF(TableQCalcMain[[#This Row],[RowNumOfShownItems_Unsplit]]="","",INDEX(TableQCalcMain[Detailed_Ext_Price],TableQCalcMain[[#This Row],[RowNumOfShownItems_Unsplit]]))</f>
        <v/>
      </c>
      <c r="Q18" s="61" t="str">
        <f>IF(TableQCalcMain[[#This Row],[RowNumOfShownItems_Unsplit]]="","",INDEX(TableQCalcMain[Real_Quantity],TableQCalcMain[[#This Row],[RowNumOfShownItems_Unsplit]]))</f>
        <v/>
      </c>
      <c r="R18" s="61" t="str">
        <f>IF(TableQCalcMain[[#This Row],[RowNumOfShownItems_Unsplit]]="","",
IF(IFERROR(
INDEX(TableQCalcMain[Unit_Price],TableQCalcMain[[#This Row],[RowNumOfShownItems_Unsplit]]),0)=0,"",
INDEX(TableQCalcMain[Unit_Price],TableQCalcMain[[#This Row],[RowNumOfShownItems_Unsplit]])
))</f>
        <v/>
      </c>
      <c r="S18" s="61" t="str">
        <f>IF(TableQCalcMain[[#This Row],[RowNumOfShownItems_Unsplit]]="","",
IF(IFERROR(
INDEX(TableQCalcMain[Extended_price],TableQCalcMain[[#This Row],[RowNumOfShownItems_Unsplit]]),0)=0,"",
INDEX(TableQCalcMain[Extended_price],TableQCalcMain[[#This Row],[RowNumOfShownItems_Unsplit]])
))</f>
        <v/>
      </c>
      <c r="T18" t="str">
        <f t="array" ref="T18">IFERROR(MATCH(0,COUNTIF(N$2:$N17,TableQCalcMain[Description])+IF(TableQCalcMain[ShowDesc?]=0,1,0),0),"")</f>
        <v/>
      </c>
      <c r="U18" s="61" t="str">
        <f>IF(TableQCalcMain[[#This Row],[RowNumOfShownItems_SOFT]]&lt;&gt;"",INDEX(TableQCalcMain[Description],TableQCalcMain[[#This Row],[RowNumOfShownItems_SOFT]]),"")</f>
        <v/>
      </c>
      <c r="V18" s="61" t="str">
        <f>IF(TableQCalcMain[[#This Row],[RowNumOfShownItems_SOFT]]&lt;&gt;"",INDEX(TableQCalcMain[Harmonized_Code],TableQCalcMain[[#This Row],[RowNumOfShownItems_SOFT]]),"")</f>
        <v/>
      </c>
      <c r="W18" s="61" t="str">
        <f>IF(TableQCalcMain[[#This Row],[RowNumOfShownItems_SOFT]]="","",INDEX(TableQCalcMain[Detailed_Ext_Price],TableQCalcMain[[#This Row],[RowNumOfShownItems_SOFT]]))</f>
        <v/>
      </c>
      <c r="X18" s="61" t="str">
        <f>IF(TableQCalcMain[[#This Row],[RowNumOfShownItems_SOFT]]="","",INDEX(TableQCalcMain[Real_Quantity],TableQCalcMain[[#This Row],[RowNumOfShownItems_SOFT]]))</f>
        <v/>
      </c>
      <c r="Y18" s="61" t="str">
        <f>IF(TableQCalcMain[[#This Row],[RowNumOfShownItems_SOFT]]="","",INDEX(TableQCalcMain[Unit_Price],TableQCalcMain[[#This Row],[RowNumOfShownItems_SOFT]]))</f>
        <v/>
      </c>
      <c r="Z18" s="61" t="str">
        <f>IF(TableQCalcMain[[#This Row],[RowNumOfShownItems_SOFT]]="","",INDEX(TableQCalcMain[Extended_price],TableQCalcMain[[#This Row],[RowNumOfShownItems_SOFT]]))</f>
        <v/>
      </c>
      <c r="AA18" t="str">
        <f t="array" ref="AA18">IFERROR(MATCH(0,COUNTIF(U$2:$U17,TableQCalcMain[Description])+IF(TableQCalcMain[ShowSoft]=0,1,0),0),"")</f>
        <v/>
      </c>
      <c r="AB18" s="61" t="str">
        <f>IF(TableQCalcMain[[#This Row],[RowNumOfShownItems_Hard]]&lt;&gt;"",INDEX(TableQCalcMain[Description],TableQCalcMain[[#This Row],[RowNumOfShownItems_Hard]]),"")</f>
        <v/>
      </c>
      <c r="AC18" s="61" t="str">
        <f>IF(TableQCalcMain[[#This Row],[RowNumOfShownItems_Hard]]&lt;&gt;"",INDEX(TableQCalcMain[Harmonized_Code],TableQCalcMain[[#This Row],[RowNumOfShownItems_Hard]]),"")</f>
        <v/>
      </c>
      <c r="AD18" s="61" t="str">
        <f>IF(TableQCalcMain[[#This Row],[RowNumOfShownItems_Hard]]="","",INDEX(TableQCalcMain[Detailed_Ext_Price],TableQCalcMain[[#This Row],[RowNumOfShownItems_Hard]]))</f>
        <v/>
      </c>
      <c r="AE18" s="61" t="str">
        <f>IF(TableQCalcMain[[#This Row],[RowNumOfShownItems_Hard]]="","",INDEX(TableQCalcMain[Real_Quantity],TableQCalcMain[[#This Row],[RowNumOfShownItems_Hard]]))</f>
        <v/>
      </c>
      <c r="AF18" s="61" t="str">
        <f>IF(TableQCalcMain[[#This Row],[RowNumOfShownItems_Hard]]="","",
IF(IFERROR(
INDEX(TableQCalcMain[Unit_Price],TableQCalcMain[[#This Row],[RowNumOfShownItems_Hard]]),0)=0,"",
INDEX(TableQCalcMain[Unit_Price],TableQCalcMain[[#This Row],[RowNumOfShownItems_Hard]])
))</f>
        <v/>
      </c>
      <c r="AG18" s="61" t="str">
        <f>IF(TableQCalcMain[[#This Row],[RowNumOfShownItems_Hard]]="","",
IF(IFERROR(
INDEX(TableQCalcMain[Extended_price],TableQCalcMain[[#This Row],[RowNumOfShownItems_Hard]]),0)=0,"",
INDEX(TableQCalcMain[Extended_price],TableQCalcMain[[#This Row],[RowNumOfShownItems_Hard]])
))</f>
        <v/>
      </c>
      <c r="AH18" s="61" t="str">
        <f t="array" ref="AH18">IFERROR(MATCH(0,COUNTIF(AB$2:$AB17,TableQCalcMain[Description])+IF(TableQCalcMain[ShowHard]=0,1,0),0),"")</f>
        <v/>
      </c>
    </row>
    <row r="19" spans="1:34" x14ac:dyDescent="0.2">
      <c r="A19" s="545"/>
      <c r="B19" s="61" t="s">
        <v>59</v>
      </c>
      <c r="C19" s="61" t="str">
        <f>IF(TableQCalcMain[[#This Row],[Unit_Price]]&gt;0,TableQCalcMain[[#This Row],[ShowDesc?]],"")</f>
        <v/>
      </c>
      <c r="D19" s="61">
        <f>IF(TableQCalcMain[[#This Row],[Unit_Price]]&gt;0,DENDRO_Option4-1,0)</f>
        <v>0</v>
      </c>
      <c r="E19" s="61"/>
      <c r="F19" s="61">
        <v>1</v>
      </c>
      <c r="G19" s="61">
        <f>TableQCalcMain[[#This Row],[ShowDesc?]]*TableQCalcMain[[#This Row],[Software]]</f>
        <v>0</v>
      </c>
      <c r="H19" s="61">
        <f>TableQCalcMain[[#This Row],[ShowDesc?]]*TableQCalcMain[[#This Row],[Hardware]]</f>
        <v>0</v>
      </c>
      <c r="I19" s="61" t="str">
        <f>WinDENDRO!$D26</f>
        <v>Positionneur de carotte (pour scanner LA seulement)</v>
      </c>
      <c r="J19" s="61">
        <f>J16</f>
        <v>847330</v>
      </c>
      <c r="K19" s="61" t="str">
        <f>""</f>
        <v/>
      </c>
      <c r="L19" s="61">
        <f>ROUND(
IF(Distributeurs_Rabais,IFERROR(WinDENDRO!#REF!,0),WinDENDRO!G26),
2)</f>
        <v>0</v>
      </c>
      <c r="M19" s="61" t="str">
        <f>IFERROR(
IF(TableQCalcMain[[#This Row],[Unit_Price]]*TableQCalcMain[[#This Row],[Real_Quantity]]&gt;0,
TableQCalcMain[[#This Row],[Unit_Price]]*TableQCalcMain[[#This Row],[Real_Quantity]],""),"")</f>
        <v/>
      </c>
      <c r="N19" s="72" t="str">
        <f>IF(TableQCalcMain[[#This Row],[RowNumOfShownItems_Unsplit]]&lt;&gt;"",INDEX(TableQCalcMain[Description],TableQCalcMain[[#This Row],[RowNumOfShownItems_Unsplit]]),"")</f>
        <v/>
      </c>
      <c r="O19" s="61" t="str">
        <f>IF(TableQCalcMain[[#This Row],[RowNumOfShownItems_Unsplit]]&lt;&gt;"",INDEX(TableQCalcMain[Harmonized_Code],TableQCalcMain[[#This Row],[RowNumOfShownItems_Unsplit]]),"")</f>
        <v/>
      </c>
      <c r="P19" s="61" t="str">
        <f>IF(TableQCalcMain[[#This Row],[RowNumOfShownItems_Unsplit]]="","",INDEX(TableQCalcMain[Detailed_Ext_Price],TableQCalcMain[[#This Row],[RowNumOfShownItems_Unsplit]]))</f>
        <v/>
      </c>
      <c r="Q19" s="61" t="str">
        <f>IF(TableQCalcMain[[#This Row],[RowNumOfShownItems_Unsplit]]="","",INDEX(TableQCalcMain[Real_Quantity],TableQCalcMain[[#This Row],[RowNumOfShownItems_Unsplit]]))</f>
        <v/>
      </c>
      <c r="R19" s="61" t="str">
        <f>IF(TableQCalcMain[[#This Row],[RowNumOfShownItems_Unsplit]]="","",
IF(IFERROR(
INDEX(TableQCalcMain[Unit_Price],TableQCalcMain[[#This Row],[RowNumOfShownItems_Unsplit]]),0)=0,"",
INDEX(TableQCalcMain[Unit_Price],TableQCalcMain[[#This Row],[RowNumOfShownItems_Unsplit]])
))</f>
        <v/>
      </c>
      <c r="S19" s="61" t="str">
        <f>IF(TableQCalcMain[[#This Row],[RowNumOfShownItems_Unsplit]]="","",
IF(IFERROR(
INDEX(TableQCalcMain[Extended_price],TableQCalcMain[[#This Row],[RowNumOfShownItems_Unsplit]]),0)=0,"",
INDEX(TableQCalcMain[Extended_price],TableQCalcMain[[#This Row],[RowNumOfShownItems_Unsplit]])
))</f>
        <v/>
      </c>
      <c r="T19" t="str">
        <f t="array" ref="T19">IFERROR(MATCH(0,COUNTIF(N$2:$N18,TableQCalcMain[Description])+IF(TableQCalcMain[ShowDesc?]=0,1,0),0),"")</f>
        <v/>
      </c>
      <c r="U19" s="61" t="str">
        <f>IF(TableQCalcMain[[#This Row],[RowNumOfShownItems_SOFT]]&lt;&gt;"",INDEX(TableQCalcMain[Description],TableQCalcMain[[#This Row],[RowNumOfShownItems_SOFT]]),"")</f>
        <v/>
      </c>
      <c r="V19" s="61" t="str">
        <f>IF(TableQCalcMain[[#This Row],[RowNumOfShownItems_SOFT]]&lt;&gt;"",INDEX(TableQCalcMain[Harmonized_Code],TableQCalcMain[[#This Row],[RowNumOfShownItems_SOFT]]),"")</f>
        <v/>
      </c>
      <c r="W19" s="61" t="str">
        <f>IF(TableQCalcMain[[#This Row],[RowNumOfShownItems_SOFT]]="","",INDEX(TableQCalcMain[Detailed_Ext_Price],TableQCalcMain[[#This Row],[RowNumOfShownItems_SOFT]]))</f>
        <v/>
      </c>
      <c r="X19" s="61" t="str">
        <f>IF(TableQCalcMain[[#This Row],[RowNumOfShownItems_SOFT]]="","",INDEX(TableQCalcMain[Real_Quantity],TableQCalcMain[[#This Row],[RowNumOfShownItems_SOFT]]))</f>
        <v/>
      </c>
      <c r="Y19" s="61" t="str">
        <f>IF(TableQCalcMain[[#This Row],[RowNumOfShownItems_SOFT]]="","",INDEX(TableQCalcMain[Unit_Price],TableQCalcMain[[#This Row],[RowNumOfShownItems_SOFT]]))</f>
        <v/>
      </c>
      <c r="Z19" s="61" t="str">
        <f>IF(TableQCalcMain[[#This Row],[RowNumOfShownItems_SOFT]]="","",INDEX(TableQCalcMain[Extended_price],TableQCalcMain[[#This Row],[RowNumOfShownItems_SOFT]]))</f>
        <v/>
      </c>
      <c r="AA19" t="str">
        <f t="array" ref="AA19">IFERROR(MATCH(0,COUNTIF(U$2:$U18,TableQCalcMain[Description])+IF(TableQCalcMain[ShowSoft]=0,1,0),0),"")</f>
        <v/>
      </c>
      <c r="AB19" s="61" t="str">
        <f>IF(TableQCalcMain[[#This Row],[RowNumOfShownItems_Hard]]&lt;&gt;"",INDEX(TableQCalcMain[Description],TableQCalcMain[[#This Row],[RowNumOfShownItems_Hard]]),"")</f>
        <v/>
      </c>
      <c r="AC19" s="61" t="str">
        <f>IF(TableQCalcMain[[#This Row],[RowNumOfShownItems_Hard]]&lt;&gt;"",INDEX(TableQCalcMain[Harmonized_Code],TableQCalcMain[[#This Row],[RowNumOfShownItems_Hard]]),"")</f>
        <v/>
      </c>
      <c r="AD19" s="61" t="str">
        <f>IF(TableQCalcMain[[#This Row],[RowNumOfShownItems_Hard]]="","",INDEX(TableQCalcMain[Detailed_Ext_Price],TableQCalcMain[[#This Row],[RowNumOfShownItems_Hard]]))</f>
        <v/>
      </c>
      <c r="AE19" s="61" t="str">
        <f>IF(TableQCalcMain[[#This Row],[RowNumOfShownItems_Hard]]="","",INDEX(TableQCalcMain[Real_Quantity],TableQCalcMain[[#This Row],[RowNumOfShownItems_Hard]]))</f>
        <v/>
      </c>
      <c r="AF19" s="61" t="str">
        <f>IF(TableQCalcMain[[#This Row],[RowNumOfShownItems_Hard]]="","",
IF(IFERROR(
INDEX(TableQCalcMain[Unit_Price],TableQCalcMain[[#This Row],[RowNumOfShownItems_Hard]]),0)=0,"",
INDEX(TableQCalcMain[Unit_Price],TableQCalcMain[[#This Row],[RowNumOfShownItems_Hard]])
))</f>
        <v/>
      </c>
      <c r="AG19" s="61" t="str">
        <f>IF(TableQCalcMain[[#This Row],[RowNumOfShownItems_Hard]]="","",
IF(IFERROR(
INDEX(TableQCalcMain[Extended_price],TableQCalcMain[[#This Row],[RowNumOfShownItems_Hard]]),0)=0,"",
INDEX(TableQCalcMain[Extended_price],TableQCalcMain[[#This Row],[RowNumOfShownItems_Hard]])
))</f>
        <v/>
      </c>
      <c r="AH19" s="61" t="str">
        <f t="array" ref="AH19">IFERROR(MATCH(0,COUNTIF(AB$2:$AB18,TableQCalcMain[Description])+IF(TableQCalcMain[ShowHard]=0,1,0),0),"")</f>
        <v/>
      </c>
    </row>
    <row r="20" spans="1:34" x14ac:dyDescent="0.2">
      <c r="A20" s="545"/>
      <c r="B20" s="61" t="s">
        <v>151</v>
      </c>
      <c r="C20" s="61">
        <f>IF(TableQCalcMain[[#This Row],[Unit_Price]]&gt;0,TableQCalcMain[[#This Row],[ShowDesc?]],"")</f>
        <v>0</v>
      </c>
      <c r="D20" s="61">
        <f>IF(TableQCalcMain[[#This Row],[Unit_Price]]&gt;0,DENDRO_Option5-1,0)</f>
        <v>0</v>
      </c>
      <c r="E20" s="61"/>
      <c r="F20" s="61">
        <v>1</v>
      </c>
      <c r="G20" s="61">
        <f>TableQCalcMain[[#This Row],[ShowDesc?]]*TableQCalcMain[[#This Row],[Software]]</f>
        <v>0</v>
      </c>
      <c r="H20" s="61">
        <f>TableQCalcMain[[#This Row],[ShowDesc?]]*TableQCalcMain[[#This Row],[Hardware]]</f>
        <v>0</v>
      </c>
      <c r="I20" s="61" t="str">
        <f>WinDENDRO!$D27</f>
        <v>Positionneur de carotte (pour scanner STD seulement)</v>
      </c>
      <c r="J20" s="61">
        <f>J16</f>
        <v>847330</v>
      </c>
      <c r="K20" s="61" t="str">
        <f>""</f>
        <v/>
      </c>
      <c r="L20" s="61">
        <f>ROUND(
IF(Distributeurs_Rabais,IFERROR(WinDENDRO!#REF!,0),WinDENDRO!G27),
2)</f>
        <v>40</v>
      </c>
      <c r="M20" s="61" t="str">
        <f>IFERROR(
IF(TableQCalcMain[[#This Row],[Unit_Price]]*TableQCalcMain[[#This Row],[Real_Quantity]]&gt;0,
TableQCalcMain[[#This Row],[Unit_Price]]*TableQCalcMain[[#This Row],[Real_Quantity]],""),"")</f>
        <v/>
      </c>
      <c r="N20" s="72" t="str">
        <f>IF(TableQCalcMain[[#This Row],[RowNumOfShownItems_Unsplit]]&lt;&gt;"",INDEX(TableQCalcMain[Description],TableQCalcMain[[#This Row],[RowNumOfShownItems_Unsplit]]),"")</f>
        <v/>
      </c>
      <c r="O20" s="61" t="str">
        <f>IF(TableQCalcMain[[#This Row],[RowNumOfShownItems_Unsplit]]&lt;&gt;"",INDEX(TableQCalcMain[Harmonized_Code],TableQCalcMain[[#This Row],[RowNumOfShownItems_Unsplit]]),"")</f>
        <v/>
      </c>
      <c r="P20" s="61" t="str">
        <f>IF(TableQCalcMain[[#This Row],[RowNumOfShownItems_Unsplit]]="","",INDEX(TableQCalcMain[Detailed_Ext_Price],TableQCalcMain[[#This Row],[RowNumOfShownItems_Unsplit]]))</f>
        <v/>
      </c>
      <c r="Q20" s="61" t="str">
        <f>IF(TableQCalcMain[[#This Row],[RowNumOfShownItems_Unsplit]]="","",INDEX(TableQCalcMain[Real_Quantity],TableQCalcMain[[#This Row],[RowNumOfShownItems_Unsplit]]))</f>
        <v/>
      </c>
      <c r="R20" s="61" t="str">
        <f>IF(TableQCalcMain[[#This Row],[RowNumOfShownItems_Unsplit]]="","",
IF(IFERROR(
INDEX(TableQCalcMain[Unit_Price],TableQCalcMain[[#This Row],[RowNumOfShownItems_Unsplit]]),0)=0,"",
INDEX(TableQCalcMain[Unit_Price],TableQCalcMain[[#This Row],[RowNumOfShownItems_Unsplit]])
))</f>
        <v/>
      </c>
      <c r="S20" s="61" t="str">
        <f>IF(TableQCalcMain[[#This Row],[RowNumOfShownItems_Unsplit]]="","",
IF(IFERROR(
INDEX(TableQCalcMain[Extended_price],TableQCalcMain[[#This Row],[RowNumOfShownItems_Unsplit]]),0)=0,"",
INDEX(TableQCalcMain[Extended_price],TableQCalcMain[[#This Row],[RowNumOfShownItems_Unsplit]])
))</f>
        <v/>
      </c>
      <c r="T20" t="str">
        <f t="array" ref="T20">IFERROR(MATCH(0,COUNTIF(N$2:$N19,TableQCalcMain[Description])+IF(TableQCalcMain[ShowDesc?]=0,1,0),0),"")</f>
        <v/>
      </c>
      <c r="U20" s="61" t="str">
        <f>IF(TableQCalcMain[[#This Row],[RowNumOfShownItems_SOFT]]&lt;&gt;"",INDEX(TableQCalcMain[Description],TableQCalcMain[[#This Row],[RowNumOfShownItems_SOFT]]),"")</f>
        <v/>
      </c>
      <c r="V20" s="61" t="str">
        <f>IF(TableQCalcMain[[#This Row],[RowNumOfShownItems_SOFT]]&lt;&gt;"",INDEX(TableQCalcMain[Harmonized_Code],TableQCalcMain[[#This Row],[RowNumOfShownItems_SOFT]]),"")</f>
        <v/>
      </c>
      <c r="W20" s="61" t="str">
        <f>IF(TableQCalcMain[[#This Row],[RowNumOfShownItems_SOFT]]="","",INDEX(TableQCalcMain[Detailed_Ext_Price],TableQCalcMain[[#This Row],[RowNumOfShownItems_SOFT]]))</f>
        <v/>
      </c>
      <c r="X20" s="61" t="str">
        <f>IF(TableQCalcMain[[#This Row],[RowNumOfShownItems_SOFT]]="","",INDEX(TableQCalcMain[Real_Quantity],TableQCalcMain[[#This Row],[RowNumOfShownItems_SOFT]]))</f>
        <v/>
      </c>
      <c r="Y20" s="61" t="str">
        <f>IF(TableQCalcMain[[#This Row],[RowNumOfShownItems_SOFT]]="","",INDEX(TableQCalcMain[Unit_Price],TableQCalcMain[[#This Row],[RowNumOfShownItems_SOFT]]))</f>
        <v/>
      </c>
      <c r="Z20" s="61" t="str">
        <f>IF(TableQCalcMain[[#This Row],[RowNumOfShownItems_SOFT]]="","",INDEX(TableQCalcMain[Extended_price],TableQCalcMain[[#This Row],[RowNumOfShownItems_SOFT]]))</f>
        <v/>
      </c>
      <c r="AA20" t="str">
        <f t="array" ref="AA20">IFERROR(MATCH(0,COUNTIF(U$2:$U19,TableQCalcMain[Description])+IF(TableQCalcMain[ShowSoft]=0,1,0),0),"")</f>
        <v/>
      </c>
      <c r="AB20" s="61" t="str">
        <f>IF(TableQCalcMain[[#This Row],[RowNumOfShownItems_Hard]]&lt;&gt;"",INDEX(TableQCalcMain[Description],TableQCalcMain[[#This Row],[RowNumOfShownItems_Hard]]),"")</f>
        <v/>
      </c>
      <c r="AC20" s="61" t="str">
        <f>IF(TableQCalcMain[[#This Row],[RowNumOfShownItems_Hard]]&lt;&gt;"",INDEX(TableQCalcMain[Harmonized_Code],TableQCalcMain[[#This Row],[RowNumOfShownItems_Hard]]),"")</f>
        <v/>
      </c>
      <c r="AD20" s="61" t="str">
        <f>IF(TableQCalcMain[[#This Row],[RowNumOfShownItems_Hard]]="","",INDEX(TableQCalcMain[Detailed_Ext_Price],TableQCalcMain[[#This Row],[RowNumOfShownItems_Hard]]))</f>
        <v/>
      </c>
      <c r="AE20" s="61" t="str">
        <f>IF(TableQCalcMain[[#This Row],[RowNumOfShownItems_Hard]]="","",INDEX(TableQCalcMain[Real_Quantity],TableQCalcMain[[#This Row],[RowNumOfShownItems_Hard]]))</f>
        <v/>
      </c>
      <c r="AF20" s="61" t="str">
        <f>IF(TableQCalcMain[[#This Row],[RowNumOfShownItems_Hard]]="","",
IF(IFERROR(
INDEX(TableQCalcMain[Unit_Price],TableQCalcMain[[#This Row],[RowNumOfShownItems_Hard]]),0)=0,"",
INDEX(TableQCalcMain[Unit_Price],TableQCalcMain[[#This Row],[RowNumOfShownItems_Hard]])
))</f>
        <v/>
      </c>
      <c r="AG20" s="61" t="str">
        <f>IF(TableQCalcMain[[#This Row],[RowNumOfShownItems_Hard]]="","",
IF(IFERROR(
INDEX(TableQCalcMain[Extended_price],TableQCalcMain[[#This Row],[RowNumOfShownItems_Hard]]),0)=0,"",
INDEX(TableQCalcMain[Extended_price],TableQCalcMain[[#This Row],[RowNumOfShownItems_Hard]])
))</f>
        <v/>
      </c>
      <c r="AH20" s="61" t="str">
        <f t="array" ref="AH20">IFERROR(MATCH(0,COUNTIF(AB$2:$AB19,TableQCalcMain[Description])+IF(TableQCalcMain[ShowHard]=0,1,0),0),"")</f>
        <v/>
      </c>
    </row>
    <row r="21" spans="1:34" x14ac:dyDescent="0.2">
      <c r="B21" s="536" t="s">
        <v>108</v>
      </c>
      <c r="C21" s="536" t="str">
        <f>""</f>
        <v/>
      </c>
      <c r="D21" s="536">
        <f>SUM(D3:D20)</f>
        <v>0</v>
      </c>
      <c r="E21" s="536">
        <v>1</v>
      </c>
      <c r="F21" s="536">
        <v>1</v>
      </c>
      <c r="G21" s="536">
        <f>SUM(G3:G20)</f>
        <v>0</v>
      </c>
      <c r="H21" s="536">
        <f>SUM(H3:H20)</f>
        <v>0</v>
      </c>
      <c r="I21" s="536" t="str">
        <f>REPT(" ",0)</f>
        <v/>
      </c>
      <c r="J21" s="536" t="str">
        <f>""</f>
        <v/>
      </c>
      <c r="K21" s="536" t="str">
        <f>""</f>
        <v/>
      </c>
      <c r="L21" s="536" t="str">
        <f>""</f>
        <v/>
      </c>
      <c r="M21" s="536" t="str">
        <f>""</f>
        <v/>
      </c>
      <c r="N21" s="72" t="str">
        <f>IF(TableQCalcMain[[#This Row],[RowNumOfShownItems_Unsplit]]&lt;&gt;"",INDEX(TableQCalcMain[Description],TableQCalcMain[[#This Row],[RowNumOfShownItems_Unsplit]]),"")</f>
        <v/>
      </c>
      <c r="O21" s="61" t="str">
        <f>IF(TableQCalcMain[[#This Row],[RowNumOfShownItems_Unsplit]]&lt;&gt;"",INDEX(TableQCalcMain[Harmonized_Code],TableQCalcMain[[#This Row],[RowNumOfShownItems_Unsplit]]),"")</f>
        <v/>
      </c>
      <c r="P21" s="61" t="str">
        <f>IF(TableQCalcMain[[#This Row],[RowNumOfShownItems_Unsplit]]="","",INDEX(TableQCalcMain[Detailed_Ext_Price],TableQCalcMain[[#This Row],[RowNumOfShownItems_Unsplit]]))</f>
        <v/>
      </c>
      <c r="Q21" s="61" t="str">
        <f>IF(TableQCalcMain[[#This Row],[RowNumOfShownItems_Unsplit]]="","",INDEX(TableQCalcMain[Real_Quantity],TableQCalcMain[[#This Row],[RowNumOfShownItems_Unsplit]]))</f>
        <v/>
      </c>
      <c r="R21" s="61" t="str">
        <f>IF(TableQCalcMain[[#This Row],[RowNumOfShownItems_Unsplit]]="","",
IF(IFERROR(
INDEX(TableQCalcMain[Unit_Price],TableQCalcMain[[#This Row],[RowNumOfShownItems_Unsplit]]),0)=0,"",
INDEX(TableQCalcMain[Unit_Price],TableQCalcMain[[#This Row],[RowNumOfShownItems_Unsplit]])
))</f>
        <v/>
      </c>
      <c r="S21" s="61" t="str">
        <f>IF(TableQCalcMain[[#This Row],[RowNumOfShownItems_Unsplit]]="","",
IF(IFERROR(
INDEX(TableQCalcMain[Extended_price],TableQCalcMain[[#This Row],[RowNumOfShownItems_Unsplit]]),0)=0,"",
INDEX(TableQCalcMain[Extended_price],TableQCalcMain[[#This Row],[RowNumOfShownItems_Unsplit]])
))</f>
        <v/>
      </c>
      <c r="T21" t="str">
        <f t="array" ref="T21">IFERROR(MATCH(0,COUNTIF(N$2:$N20,TableQCalcMain[Description])+IF(TableQCalcMain[ShowDesc?]=0,1,0),0),"")</f>
        <v/>
      </c>
      <c r="U21" s="61" t="str">
        <f>IF(TableQCalcMain[[#This Row],[RowNumOfShownItems_SOFT]]&lt;&gt;"",INDEX(TableQCalcMain[Description],TableQCalcMain[[#This Row],[RowNumOfShownItems_SOFT]]),"")</f>
        <v/>
      </c>
      <c r="V21" s="61" t="str">
        <f>IF(TableQCalcMain[[#This Row],[RowNumOfShownItems_SOFT]]&lt;&gt;"",INDEX(TableQCalcMain[Harmonized_Code],TableQCalcMain[[#This Row],[RowNumOfShownItems_SOFT]]),"")</f>
        <v/>
      </c>
      <c r="W21" s="61" t="str">
        <f>IF(TableQCalcMain[[#This Row],[RowNumOfShownItems_SOFT]]="","",INDEX(TableQCalcMain[Detailed_Ext_Price],TableQCalcMain[[#This Row],[RowNumOfShownItems_SOFT]]))</f>
        <v/>
      </c>
      <c r="X21" s="61" t="str">
        <f>IF(TableQCalcMain[[#This Row],[RowNumOfShownItems_SOFT]]="","",INDEX(TableQCalcMain[Real_Quantity],TableQCalcMain[[#This Row],[RowNumOfShownItems_SOFT]]))</f>
        <v/>
      </c>
      <c r="Y21" s="61" t="str">
        <f>IF(TableQCalcMain[[#This Row],[RowNumOfShownItems_SOFT]]="","",INDEX(TableQCalcMain[Unit_Price],TableQCalcMain[[#This Row],[RowNumOfShownItems_SOFT]]))</f>
        <v/>
      </c>
      <c r="Z21" s="61" t="str">
        <f>IF(TableQCalcMain[[#This Row],[RowNumOfShownItems_SOFT]]="","",INDEX(TableQCalcMain[Extended_price],TableQCalcMain[[#This Row],[RowNumOfShownItems_SOFT]]))</f>
        <v/>
      </c>
      <c r="AA21" t="str">
        <f t="array" ref="AA21">IFERROR(MATCH(0,COUNTIF(U$2:$U20,TableQCalcMain[Description])+IF(TableQCalcMain[ShowSoft]=0,1,0),0),"")</f>
        <v/>
      </c>
      <c r="AB21" s="61" t="str">
        <f>IF(TableQCalcMain[[#This Row],[RowNumOfShownItems_Hard]]&lt;&gt;"",INDEX(TableQCalcMain[Description],TableQCalcMain[[#This Row],[RowNumOfShownItems_Hard]]),"")</f>
        <v/>
      </c>
      <c r="AC21" s="61" t="str">
        <f>IF(TableQCalcMain[[#This Row],[RowNumOfShownItems_Hard]]&lt;&gt;"",INDEX(TableQCalcMain[Harmonized_Code],TableQCalcMain[[#This Row],[RowNumOfShownItems_Hard]]),"")</f>
        <v/>
      </c>
      <c r="AD21" s="61" t="str">
        <f>IF(TableQCalcMain[[#This Row],[RowNumOfShownItems_Hard]]="","",INDEX(TableQCalcMain[Detailed_Ext_Price],TableQCalcMain[[#This Row],[RowNumOfShownItems_Hard]]))</f>
        <v/>
      </c>
      <c r="AE21" s="61" t="str">
        <f>IF(TableQCalcMain[[#This Row],[RowNumOfShownItems_Hard]]="","",INDEX(TableQCalcMain[Real_Quantity],TableQCalcMain[[#This Row],[RowNumOfShownItems_Hard]]))</f>
        <v/>
      </c>
      <c r="AF21" s="61" t="str">
        <f>IF(TableQCalcMain[[#This Row],[RowNumOfShownItems_Hard]]="","",
IF(IFERROR(
INDEX(TableQCalcMain[Unit_Price],TableQCalcMain[[#This Row],[RowNumOfShownItems_Hard]]),0)=0,"",
INDEX(TableQCalcMain[Unit_Price],TableQCalcMain[[#This Row],[RowNumOfShownItems_Hard]])
))</f>
        <v/>
      </c>
      <c r="AG21" s="61" t="str">
        <f>IF(TableQCalcMain[[#This Row],[RowNumOfShownItems_Hard]]="","",
IF(IFERROR(
INDEX(TableQCalcMain[Extended_price],TableQCalcMain[[#This Row],[RowNumOfShownItems_Hard]]),0)=0,"",
INDEX(TableQCalcMain[Extended_price],TableQCalcMain[[#This Row],[RowNumOfShownItems_Hard]])
))</f>
        <v/>
      </c>
      <c r="AH21" s="61" t="str">
        <f t="array" ref="AH21">IFERROR(MATCH(0,COUNTIF(AB$2:$AB20,TableQCalcMain[Description])+IF(TableQCalcMain[ShowHard]=0,1,0),0),"")</f>
        <v/>
      </c>
    </row>
    <row r="22" spans="1:34" x14ac:dyDescent="0.2">
      <c r="A22" s="734"/>
      <c r="B22" s="61" t="s">
        <v>61</v>
      </c>
      <c r="C22" s="540">
        <f>CELL_N_Software-1</f>
        <v>0</v>
      </c>
      <c r="D22" s="61">
        <f>TableQCalcMain[[#This Row],[Real_Quantity]]</f>
        <v>0</v>
      </c>
      <c r="E22" s="61">
        <v>1</v>
      </c>
      <c r="F22" s="61"/>
      <c r="G22" s="61">
        <f>N(TableQCalcMain[[#This Row],[ShowDesc?]])*TableQCalcMain[[#This Row],[Software]]</f>
        <v>0</v>
      </c>
      <c r="H22" s="61">
        <f>N(TableQCalcMain[[#This Row],[ShowDesc?]])*TableQCalcMain[[#This Row],[Hardware]]</f>
        <v>0</v>
      </c>
      <c r="I22" s="61" t="str">
        <f>LEFT(INDEX(CELL_SoftwareFullNames,CELL_IndexSoftware),FIND(" ",INDEX(CELL_SoftwareFullNames,CELL_IndexSoftware),FIND(" ",INDEX(CELL_SoftwareFullNames,CELL_IndexSoftware))+1))&amp;
CELL_YearMostRecent &amp; " " &amp; "&amp;" &amp; " XLCell" &amp;
IF(Francais," Logiciels"," Software")&amp; IF(QUOTE_Split_SoftwareHardware,IF(QUOTE_InternetDownload,IF(Francais, ", Téléchargement Internet", ", Internet download"),IF(Francais, ", Envoyé par transporteur", ", Shipped by courier")),IF(Francais," sur media USB (manuels PDF &amp; imprimés)"," on USB drive (PDF &amp; printed manuals)")) &amp;
IF(AND(QUOTE_SameClient=TRUE,CELL_N_Software+CELL_N_AlreadyHaveSoftware&gt;3),IF(Francais," (incl. rabais multi licenses"," (incl. multi licenses discount")&amp;
" "&amp;TEXT(ROUND((INDEX(CELL_SoftwarePriceList,CELL_IndexSoftware))*((CELL_N_Software-1)-IF(CELL_N_Software-1=0,0,SUM(MMULT(
  _xlfn.MUNIT(
   CELL_N_Software-1),
    INDEX(TableLists[Column10],CELL_N_AlreadyHaveSoftware-1+2):
    INDEX(TableLists[Column10],(CELL_N_AlreadyHaveSoftware-1+1)+(CELL_N_Software-1))
))))*(1-RebateSoftware*Distributeurs_Rabais),0),"0.00")&amp;")","")</f>
        <v>WinCELL™ Reg 2025 &amp; XLCell Logiciels sur media USB (manuels PDF &amp; imprimés)</v>
      </c>
      <c r="J22" s="61">
        <f>WinCELL!I4</f>
        <v>852349</v>
      </c>
      <c r="K22" s="61">
        <f>TableQCalcMain[[#This Row],[Extended_price]]</f>
        <v>0</v>
      </c>
      <c r="L22" s="61" t="str">
        <f>IF(OR(TableQCalcMain[[#This Row],[Real_Quantity]]=0,TableQCalcMain[[#This Row],[Extended_price]]=0),"",ROUND(TableQCalcMain[[#This Row],[Extended_price]]/TableQCalcMain[[#This Row],[Real_Quantity]],2))</f>
        <v/>
      </c>
      <c r="M22" s="61">
        <f>ROUND(
(INDEX(CELL_SoftwarePriceList,CELL_IndexSoftware))*
IF(CELL_N_Software-1=0,0,SUM(MMULT(
  _xlfn.MUNIT(
   CELL_N_Software-1),
    INDEX(TableLists[Column10],CELL_N_AlreadyHaveSoftware-1+2):
    INDEX(TableLists[Column10],(CELL_N_AlreadyHaveSoftware-1+1)+(CELL_N_Software-1))
))
)*((1-RebateSoftware*Distributeurs_Rabais)),0)
-IF(QUOTE_Split_SoftwareHardware,PrixUSBKey*(CELL_N_Software-1),0)</f>
        <v>0</v>
      </c>
      <c r="N22" s="72" t="str">
        <f>IF(TableQCalcMain[[#This Row],[RowNumOfShownItems_Unsplit]]&lt;&gt;"",INDEX(TableQCalcMain[Description],TableQCalcMain[[#This Row],[RowNumOfShownItems_Unsplit]]),"")</f>
        <v/>
      </c>
      <c r="O22" s="61" t="str">
        <f>IF(TableQCalcMain[[#This Row],[RowNumOfShownItems_Unsplit]]&lt;&gt;"",INDEX(TableQCalcMain[Harmonized_Code],TableQCalcMain[[#This Row],[RowNumOfShownItems_Unsplit]]),"")</f>
        <v/>
      </c>
      <c r="P22" s="61" t="str">
        <f>IF(TableQCalcMain[[#This Row],[RowNumOfShownItems_Unsplit]]="","",INDEX(TableQCalcMain[Detailed_Ext_Price],TableQCalcMain[[#This Row],[RowNumOfShownItems_Unsplit]]))</f>
        <v/>
      </c>
      <c r="Q22" s="61" t="str">
        <f>IF(TableQCalcMain[[#This Row],[RowNumOfShownItems_Unsplit]]="","",INDEX(TableQCalcMain[Real_Quantity],TableQCalcMain[[#This Row],[RowNumOfShownItems_Unsplit]]))</f>
        <v/>
      </c>
      <c r="R22" s="61" t="str">
        <f>IF(TableQCalcMain[[#This Row],[RowNumOfShownItems_Unsplit]]="","",
IF(IFERROR(
INDEX(TableQCalcMain[Unit_Price],TableQCalcMain[[#This Row],[RowNumOfShownItems_Unsplit]]),0)=0,"",
INDEX(TableQCalcMain[Unit_Price],TableQCalcMain[[#This Row],[RowNumOfShownItems_Unsplit]])
))</f>
        <v/>
      </c>
      <c r="S22" s="61" t="str">
        <f>IF(TableQCalcMain[[#This Row],[RowNumOfShownItems_Unsplit]]="","",
IF(IFERROR(
INDEX(TableQCalcMain[Extended_price],TableQCalcMain[[#This Row],[RowNumOfShownItems_Unsplit]]),0)=0,"",
INDEX(TableQCalcMain[Extended_price],TableQCalcMain[[#This Row],[RowNumOfShownItems_Unsplit]])
))</f>
        <v/>
      </c>
      <c r="T22" t="str">
        <f t="array" ref="T22">IFERROR(MATCH(0,COUNTIF(N$2:$N21,TableQCalcMain[Description])+IF(TableQCalcMain[ShowDesc?]=0,1,0),0),"")</f>
        <v/>
      </c>
      <c r="U22" s="61" t="str">
        <f>IF(TableQCalcMain[[#This Row],[RowNumOfShownItems_SOFT]]&lt;&gt;"",INDEX(TableQCalcMain[Description],TableQCalcMain[[#This Row],[RowNumOfShownItems_SOFT]]),"")</f>
        <v/>
      </c>
      <c r="V22" s="61" t="str">
        <f>IF(TableQCalcMain[[#This Row],[RowNumOfShownItems_SOFT]]&lt;&gt;"",INDEX(TableQCalcMain[Harmonized_Code],TableQCalcMain[[#This Row],[RowNumOfShownItems_SOFT]]),"")</f>
        <v/>
      </c>
      <c r="W22" s="61" t="str">
        <f>IF(TableQCalcMain[[#This Row],[RowNumOfShownItems_SOFT]]="","",INDEX(TableQCalcMain[Detailed_Ext_Price],TableQCalcMain[[#This Row],[RowNumOfShownItems_SOFT]]))</f>
        <v/>
      </c>
      <c r="X22" s="61" t="str">
        <f>IF(TableQCalcMain[[#This Row],[RowNumOfShownItems_SOFT]]="","",INDEX(TableQCalcMain[Real_Quantity],TableQCalcMain[[#This Row],[RowNumOfShownItems_SOFT]]))</f>
        <v/>
      </c>
      <c r="Y22" s="61" t="str">
        <f>IF(TableQCalcMain[[#This Row],[RowNumOfShownItems_SOFT]]="","",INDEX(TableQCalcMain[Unit_Price],TableQCalcMain[[#This Row],[RowNumOfShownItems_SOFT]]))</f>
        <v/>
      </c>
      <c r="Z22" s="61" t="str">
        <f>IF(TableQCalcMain[[#This Row],[RowNumOfShownItems_SOFT]]="","",INDEX(TableQCalcMain[Extended_price],TableQCalcMain[[#This Row],[RowNumOfShownItems_SOFT]]))</f>
        <v/>
      </c>
      <c r="AA22" t="str">
        <f t="array" ref="AA22">IFERROR(MATCH(0,COUNTIF(U$2:$U21,TableQCalcMain[Description])+IF(TableQCalcMain[ShowSoft]=0,1,0),0),"")</f>
        <v/>
      </c>
      <c r="AB22" s="61" t="str">
        <f>IF(TableQCalcMain[[#This Row],[RowNumOfShownItems_Hard]]&lt;&gt;"",INDEX(TableQCalcMain[Description],TableQCalcMain[[#This Row],[RowNumOfShownItems_Hard]]),"")</f>
        <v/>
      </c>
      <c r="AC22" s="61" t="str">
        <f>IF(TableQCalcMain[[#This Row],[RowNumOfShownItems_Hard]]&lt;&gt;"",INDEX(TableQCalcMain[Harmonized_Code],TableQCalcMain[[#This Row],[RowNumOfShownItems_Hard]]),"")</f>
        <v/>
      </c>
      <c r="AD22" s="61" t="str">
        <f>IF(TableQCalcMain[[#This Row],[RowNumOfShownItems_Hard]]="","",INDEX(TableQCalcMain[Detailed_Ext_Price],TableQCalcMain[[#This Row],[RowNumOfShownItems_Hard]]))</f>
        <v/>
      </c>
      <c r="AE22" s="61" t="str">
        <f>IF(TableQCalcMain[[#This Row],[RowNumOfShownItems_Hard]]="","",INDEX(TableQCalcMain[Real_Quantity],TableQCalcMain[[#This Row],[RowNumOfShownItems_Hard]]))</f>
        <v/>
      </c>
      <c r="AF22" s="61" t="str">
        <f>IF(TableQCalcMain[[#This Row],[RowNumOfShownItems_Hard]]="","",
IF(IFERROR(
INDEX(TableQCalcMain[Unit_Price],TableQCalcMain[[#This Row],[RowNumOfShownItems_Hard]]),0)=0,"",
INDEX(TableQCalcMain[Unit_Price],TableQCalcMain[[#This Row],[RowNumOfShownItems_Hard]])
))</f>
        <v/>
      </c>
      <c r="AG22" s="61" t="str">
        <f>IF(TableQCalcMain[[#This Row],[RowNumOfShownItems_Hard]]="","",
IF(IFERROR(
INDEX(TableQCalcMain[Extended_price],TableQCalcMain[[#This Row],[RowNumOfShownItems_Hard]]),0)=0,"",
INDEX(TableQCalcMain[Extended_price],TableQCalcMain[[#This Row],[RowNumOfShownItems_Hard]])
))</f>
        <v/>
      </c>
      <c r="AH22" s="61" t="str">
        <f t="array" ref="AH22">IFERROR(MATCH(0,COUNTIF(AB$2:$AB21,TableQCalcMain[Description])+IF(TableQCalcMain[ShowHard]=0,1,0),0),"")</f>
        <v/>
      </c>
    </row>
    <row r="23" spans="1:34" ht="15.5" customHeight="1" x14ac:dyDescent="0.2">
      <c r="A23" s="734"/>
      <c r="B23" s="569" t="s">
        <v>743</v>
      </c>
      <c r="C23" s="61"/>
      <c r="D23" s="61"/>
      <c r="E23" s="61"/>
      <c r="F23" s="61"/>
      <c r="G23" s="61"/>
      <c r="H23" s="61"/>
      <c r="I23" s="568" t="s">
        <v>750</v>
      </c>
      <c r="J23" s="61"/>
      <c r="K23" s="61"/>
      <c r="L23" s="61"/>
      <c r="M23" s="61"/>
      <c r="N23" s="72" t="str">
        <f>IF(TableQCalcMain[[#This Row],[RowNumOfShownItems_Unsplit]]&lt;&gt;"",INDEX(TableQCalcMain[Description],TableQCalcMain[[#This Row],[RowNumOfShownItems_Unsplit]]),"")</f>
        <v/>
      </c>
      <c r="O23" s="61" t="str">
        <f>IF(TableQCalcMain[[#This Row],[RowNumOfShownItems_Unsplit]]&lt;&gt;"",INDEX(TableQCalcMain[Harmonized_Code],TableQCalcMain[[#This Row],[RowNumOfShownItems_Unsplit]]),"")</f>
        <v/>
      </c>
      <c r="P23" s="61" t="str">
        <f>IF(TableQCalcMain[[#This Row],[RowNumOfShownItems_Unsplit]]="","",INDEX(TableQCalcMain[Detailed_Ext_Price],TableQCalcMain[[#This Row],[RowNumOfShownItems_Unsplit]]))</f>
        <v/>
      </c>
      <c r="Q23" s="61" t="str">
        <f>IF(TableQCalcMain[[#This Row],[RowNumOfShownItems_Unsplit]]="","",INDEX(TableQCalcMain[Real_Quantity],TableQCalcMain[[#This Row],[RowNumOfShownItems_Unsplit]]))</f>
        <v/>
      </c>
      <c r="R23" s="61" t="str">
        <f>IF(TableQCalcMain[[#This Row],[RowNumOfShownItems_Unsplit]]="","",
IF(IFERROR(
INDEX(TableQCalcMain[Unit_Price],TableQCalcMain[[#This Row],[RowNumOfShownItems_Unsplit]]),0)=0,"",
INDEX(TableQCalcMain[Unit_Price],TableQCalcMain[[#This Row],[RowNumOfShownItems_Unsplit]])
))</f>
        <v/>
      </c>
      <c r="S23" s="61" t="str">
        <f>IF(TableQCalcMain[[#This Row],[RowNumOfShownItems_Unsplit]]="","",
IF(IFERROR(
INDEX(TableQCalcMain[Extended_price],TableQCalcMain[[#This Row],[RowNumOfShownItems_Unsplit]]),0)=0,"",
INDEX(TableQCalcMain[Extended_price],TableQCalcMain[[#This Row],[RowNumOfShownItems_Unsplit]])
))</f>
        <v/>
      </c>
      <c r="T23" t="str">
        <f t="array" ref="T23">IFERROR(MATCH(0,COUNTIF(N$2:$N22,TableQCalcMain[Description])+IF(TableQCalcMain[ShowDesc?]=0,1,0),0),"")</f>
        <v/>
      </c>
      <c r="U23" s="61" t="str">
        <f>IF(TableQCalcMain[[#This Row],[RowNumOfShownItems_SOFT]]&lt;&gt;"",INDEX(TableQCalcMain[Description],TableQCalcMain[[#This Row],[RowNumOfShownItems_SOFT]]),"")</f>
        <v/>
      </c>
      <c r="V23" s="61" t="str">
        <f>IF(TableQCalcMain[[#This Row],[RowNumOfShownItems_SOFT]]&lt;&gt;"",INDEX(TableQCalcMain[Harmonized_Code],TableQCalcMain[[#This Row],[RowNumOfShownItems_SOFT]]),"")</f>
        <v/>
      </c>
      <c r="W23" s="61" t="str">
        <f>IF(TableQCalcMain[[#This Row],[RowNumOfShownItems_SOFT]]="","",INDEX(TableQCalcMain[Detailed_Ext_Price],TableQCalcMain[[#This Row],[RowNumOfShownItems_SOFT]]))</f>
        <v/>
      </c>
      <c r="X23" s="61" t="str">
        <f>IF(TableQCalcMain[[#This Row],[RowNumOfShownItems_SOFT]]="","",INDEX(TableQCalcMain[Real_Quantity],TableQCalcMain[[#This Row],[RowNumOfShownItems_SOFT]]))</f>
        <v/>
      </c>
      <c r="Y23" s="61" t="str">
        <f>IF(TableQCalcMain[[#This Row],[RowNumOfShownItems_SOFT]]="","",INDEX(TableQCalcMain[Unit_Price],TableQCalcMain[[#This Row],[RowNumOfShownItems_SOFT]]))</f>
        <v/>
      </c>
      <c r="Z23" s="61" t="str">
        <f>IF(TableQCalcMain[[#This Row],[RowNumOfShownItems_SOFT]]="","",INDEX(TableQCalcMain[Extended_price],TableQCalcMain[[#This Row],[RowNumOfShownItems_SOFT]]))</f>
        <v/>
      </c>
      <c r="AA23" t="str">
        <f t="array" ref="AA23">IFERROR(MATCH(0,COUNTIF(U$2:$U22,TableQCalcMain[Description])+IF(TableQCalcMain[ShowSoft]=0,1,0),0),"")</f>
        <v/>
      </c>
      <c r="AB23" s="61" t="str">
        <f>IF(TableQCalcMain[[#This Row],[RowNumOfShownItems_Hard]]&lt;&gt;"",INDEX(TableQCalcMain[Description],TableQCalcMain[[#This Row],[RowNumOfShownItems_Hard]]),"")</f>
        <v/>
      </c>
      <c r="AC23" s="61" t="str">
        <f>IF(TableQCalcMain[[#This Row],[RowNumOfShownItems_Hard]]&lt;&gt;"",INDEX(TableQCalcMain[Harmonized_Code],TableQCalcMain[[#This Row],[RowNumOfShownItems_Hard]]),"")</f>
        <v/>
      </c>
      <c r="AD23" s="61" t="str">
        <f>IF(TableQCalcMain[[#This Row],[RowNumOfShownItems_Hard]]="","",INDEX(TableQCalcMain[Detailed_Ext_Price],TableQCalcMain[[#This Row],[RowNumOfShownItems_Hard]]))</f>
        <v/>
      </c>
      <c r="AE23" s="61" t="str">
        <f>IF(TableQCalcMain[[#This Row],[RowNumOfShownItems_Hard]]="","",INDEX(TableQCalcMain[Real_Quantity],TableQCalcMain[[#This Row],[RowNumOfShownItems_Hard]]))</f>
        <v/>
      </c>
      <c r="AF23" s="61" t="str">
        <f>IF(TableQCalcMain[[#This Row],[RowNumOfShownItems_Hard]]="","",
IF(IFERROR(
INDEX(TableQCalcMain[Unit_Price],TableQCalcMain[[#This Row],[RowNumOfShownItems_Hard]]),0)=0,"",
INDEX(TableQCalcMain[Unit_Price],TableQCalcMain[[#This Row],[RowNumOfShownItems_Hard]])
))</f>
        <v/>
      </c>
      <c r="AG23" s="61" t="str">
        <f>IF(TableQCalcMain[[#This Row],[RowNumOfShownItems_Hard]]="","",
IF(IFERROR(
INDEX(TableQCalcMain[Extended_price],TableQCalcMain[[#This Row],[RowNumOfShownItems_Hard]]),0)=0,"",
INDEX(TableQCalcMain[Extended_price],TableQCalcMain[[#This Row],[RowNumOfShownItems_Hard]])
))</f>
        <v/>
      </c>
      <c r="AH23" s="61" t="str">
        <f t="array" ref="AH23">IFERROR(MATCH(0,COUNTIF(AB$2:$AB22,TableQCalcMain[Description])+IF(TableQCalcMain[ShowHard]=0,1,0),0),"")</f>
        <v/>
      </c>
    </row>
    <row r="24" spans="1:34" ht="15.5" customHeight="1" x14ac:dyDescent="0.2">
      <c r="A24" s="734"/>
      <c r="B24" s="470" t="s">
        <v>331</v>
      </c>
      <c r="C24" s="61" t="str">
        <f>""</f>
        <v/>
      </c>
      <c r="D24" s="61">
        <f>IF(QUOTE_Split_SoftwareHardware,N($C$22),0)</f>
        <v>0</v>
      </c>
      <c r="E24" s="61">
        <v>1</v>
      </c>
      <c r="F24" s="61"/>
      <c r="G24" s="61">
        <f>TableQCalcMain[[#This Row],[ShowDesc?]]*TableQCalcMain[[#This Row],[Software]]</f>
        <v>0</v>
      </c>
      <c r="H24" s="61"/>
      <c r="I24" s="61" t="str">
        <f>"         • " &amp; IF(AND(QUOTE_Split_SoftwareHardware,QUOTE_InternetDownload),
IF(Francais,"Logiciels et documents d'instructions (fichiers PDF)","Software &amp; Instructions documents (PDF files)"),
IF(Francais,"Logiciel et documents d'instructions (" &amp; IF(QUOTE_InternetDownload,"sur clé USB","PDF") &amp; " et imprimés)","Software &amp; Instructions documents (" &amp; IF(QUOTE_InternetDownload,"on USB Key","PDF") &amp; " &amp; printed)"))
&amp;REPT(" ",2)</f>
        <v xml:space="preserve">         • Logiciel et documents d'instructions (PDF et imprimés)  </v>
      </c>
      <c r="J24" s="61" t="str">
        <f>""</f>
        <v/>
      </c>
      <c r="K24" s="61" t="str">
        <f>""</f>
        <v/>
      </c>
      <c r="L24" s="61" t="str">
        <f>""</f>
        <v/>
      </c>
      <c r="M24" s="61" t="str">
        <f>""</f>
        <v/>
      </c>
      <c r="N24" s="72" t="str">
        <f>IF(TableQCalcMain[[#This Row],[RowNumOfShownItems_Unsplit]]&lt;&gt;"",INDEX(TableQCalcMain[Description],TableQCalcMain[[#This Row],[RowNumOfShownItems_Unsplit]]),"")</f>
        <v/>
      </c>
      <c r="O24" s="61" t="str">
        <f>IF(TableQCalcMain[[#This Row],[RowNumOfShownItems_Unsplit]]&lt;&gt;"",INDEX(TableQCalcMain[Harmonized_Code],TableQCalcMain[[#This Row],[RowNumOfShownItems_Unsplit]]),"")</f>
        <v/>
      </c>
      <c r="P24" s="61" t="str">
        <f>IF(TableQCalcMain[[#This Row],[RowNumOfShownItems_Unsplit]]="","",INDEX(TableQCalcMain[Detailed_Ext_Price],TableQCalcMain[[#This Row],[RowNumOfShownItems_Unsplit]]))</f>
        <v/>
      </c>
      <c r="Q24" s="61" t="str">
        <f>IF(TableQCalcMain[[#This Row],[RowNumOfShownItems_Unsplit]]="","",INDEX(TableQCalcMain[Real_Quantity],TableQCalcMain[[#This Row],[RowNumOfShownItems_Unsplit]]))</f>
        <v/>
      </c>
      <c r="R24" s="61" t="str">
        <f>IF(TableQCalcMain[[#This Row],[RowNumOfShownItems_Unsplit]]="","",
IF(IFERROR(
INDEX(TableQCalcMain[Unit_Price],TableQCalcMain[[#This Row],[RowNumOfShownItems_Unsplit]]),0)=0,"",
INDEX(TableQCalcMain[Unit_Price],TableQCalcMain[[#This Row],[RowNumOfShownItems_Unsplit]])
))</f>
        <v/>
      </c>
      <c r="S24" s="61" t="str">
        <f>IF(TableQCalcMain[[#This Row],[RowNumOfShownItems_Unsplit]]="","",
IF(IFERROR(
INDEX(TableQCalcMain[Extended_price],TableQCalcMain[[#This Row],[RowNumOfShownItems_Unsplit]]),0)=0,"",
INDEX(TableQCalcMain[Extended_price],TableQCalcMain[[#This Row],[RowNumOfShownItems_Unsplit]])
))</f>
        <v/>
      </c>
      <c r="T24" t="str">
        <f t="array" ref="T24">IFERROR(MATCH(0,COUNTIF(N$2:$N23,TableQCalcMain[Description])+IF(TableQCalcMain[ShowDesc?]=0,1,0),0),"")</f>
        <v/>
      </c>
      <c r="U24" s="61" t="str">
        <f>IF(TableQCalcMain[[#This Row],[RowNumOfShownItems_SOFT]]&lt;&gt;"",INDEX(TableQCalcMain[Description],TableQCalcMain[[#This Row],[RowNumOfShownItems_SOFT]]),"")</f>
        <v/>
      </c>
      <c r="V24" s="61" t="str">
        <f>IF(TableQCalcMain[[#This Row],[RowNumOfShownItems_SOFT]]&lt;&gt;"",INDEX(TableQCalcMain[Harmonized_Code],TableQCalcMain[[#This Row],[RowNumOfShownItems_SOFT]]),"")</f>
        <v/>
      </c>
      <c r="W24" s="61" t="str">
        <f>IF(TableQCalcMain[[#This Row],[RowNumOfShownItems_SOFT]]="","",INDEX(TableQCalcMain[Detailed_Ext_Price],TableQCalcMain[[#This Row],[RowNumOfShownItems_SOFT]]))</f>
        <v/>
      </c>
      <c r="X24" s="61" t="str">
        <f>IF(TableQCalcMain[[#This Row],[RowNumOfShownItems_SOFT]]="","",INDEX(TableQCalcMain[Real_Quantity],TableQCalcMain[[#This Row],[RowNumOfShownItems_SOFT]]))</f>
        <v/>
      </c>
      <c r="Y24" s="61" t="str">
        <f>IF(TableQCalcMain[[#This Row],[RowNumOfShownItems_SOFT]]="","",INDEX(TableQCalcMain[Unit_Price],TableQCalcMain[[#This Row],[RowNumOfShownItems_SOFT]]))</f>
        <v/>
      </c>
      <c r="Z24" s="61" t="str">
        <f>IF(TableQCalcMain[[#This Row],[RowNumOfShownItems_SOFT]]="","",INDEX(TableQCalcMain[Extended_price],TableQCalcMain[[#This Row],[RowNumOfShownItems_SOFT]]))</f>
        <v/>
      </c>
      <c r="AA24" t="str">
        <f t="array" ref="AA24">IFERROR(MATCH(0,COUNTIF(U$2:$U23,TableQCalcMain[Description])+IF(TableQCalcMain[ShowSoft]=0,1,0),0),"")</f>
        <v/>
      </c>
      <c r="AB24" s="61" t="str">
        <f>IF(TableQCalcMain[[#This Row],[RowNumOfShownItems_Hard]]&lt;&gt;"",INDEX(TableQCalcMain[Description],TableQCalcMain[[#This Row],[RowNumOfShownItems_Hard]]),"")</f>
        <v/>
      </c>
      <c r="AC24" s="61" t="str">
        <f>IF(TableQCalcMain[[#This Row],[RowNumOfShownItems_Hard]]&lt;&gt;"",INDEX(TableQCalcMain[Harmonized_Code],TableQCalcMain[[#This Row],[RowNumOfShownItems_Hard]]),"")</f>
        <v/>
      </c>
      <c r="AD24" s="61" t="str">
        <f>IF(TableQCalcMain[[#This Row],[RowNumOfShownItems_Hard]]="","",INDEX(TableQCalcMain[Detailed_Ext_Price],TableQCalcMain[[#This Row],[RowNumOfShownItems_Hard]]))</f>
        <v/>
      </c>
      <c r="AE24" s="61" t="str">
        <f>IF(TableQCalcMain[[#This Row],[RowNumOfShownItems_Hard]]="","",INDEX(TableQCalcMain[Real_Quantity],TableQCalcMain[[#This Row],[RowNumOfShownItems_Hard]]))</f>
        <v/>
      </c>
      <c r="AF24" s="61" t="str">
        <f>IF(TableQCalcMain[[#This Row],[RowNumOfShownItems_Hard]]="","",
IF(IFERROR(
INDEX(TableQCalcMain[Unit_Price],TableQCalcMain[[#This Row],[RowNumOfShownItems_Hard]]),0)=0,"",
INDEX(TableQCalcMain[Unit_Price],TableQCalcMain[[#This Row],[RowNumOfShownItems_Hard]])
))</f>
        <v/>
      </c>
      <c r="AG24" s="61" t="str">
        <f>IF(TableQCalcMain[[#This Row],[RowNumOfShownItems_Hard]]="","",
IF(IFERROR(
INDEX(TableQCalcMain[Extended_price],TableQCalcMain[[#This Row],[RowNumOfShownItems_Hard]]),0)=0,"",
INDEX(TableQCalcMain[Extended_price],TableQCalcMain[[#This Row],[RowNumOfShownItems_Hard]])
))</f>
        <v/>
      </c>
      <c r="AH24" s="61" t="str">
        <f t="array" ref="AH24">IFERROR(MATCH(0,COUNTIF(AB$2:$AB23,TableQCalcMain[Description])+IF(TableQCalcMain[ShowHard]=0,1,0),0),"")</f>
        <v/>
      </c>
    </row>
    <row r="25" spans="1:34" ht="15.5" customHeight="1" x14ac:dyDescent="0.2">
      <c r="A25" s="734"/>
      <c r="B25" s="61" t="s">
        <v>60</v>
      </c>
      <c r="C25" s="61">
        <f>CELL_OptionXL*(CELL_N_Software-1)</f>
        <v>0</v>
      </c>
      <c r="D25" s="61">
        <f>0*CELL_OptionXL*(CELL_N_Software-1)</f>
        <v>0</v>
      </c>
      <c r="E25" s="61">
        <v>1</v>
      </c>
      <c r="F25" s="61"/>
      <c r="G25" s="61">
        <f>TableQCalcMain[[#This Row],[ShowDesc?]]*TableQCalcMain[[#This Row],[Software]]</f>
        <v>0</v>
      </c>
      <c r="H25" s="61">
        <f>TableQCalcMain[[#This Row],[ShowDesc?]]*TableQCalcMain[[#This Row],[Hardware]]</f>
        <v>0</v>
      </c>
      <c r="I25" s="61" t="str">
        <f>IF(Francais,"XLCell Logiciel pour l'Analyse des données de WinCELL","XLCell Software for WinCELL's data Analysis")</f>
        <v>XLCell Logiciel pour l'Analyse des données de WinCELL</v>
      </c>
      <c r="J25" s="61" t="str">
        <f>""</f>
        <v/>
      </c>
      <c r="K25" s="61" t="s">
        <v>162</v>
      </c>
      <c r="L25" s="61" t="str">
        <f>""</f>
        <v/>
      </c>
      <c r="M25" s="61" t="str">
        <f>""</f>
        <v/>
      </c>
      <c r="N25" s="72" t="str">
        <f>IF(TableQCalcMain[[#This Row],[RowNumOfShownItems_Unsplit]]&lt;&gt;"",INDEX(TableQCalcMain[Description],TableQCalcMain[[#This Row],[RowNumOfShownItems_Unsplit]]),"")</f>
        <v/>
      </c>
      <c r="O25" s="61" t="str">
        <f>IF(TableQCalcMain[[#This Row],[RowNumOfShownItems_Unsplit]]&lt;&gt;"",INDEX(TableQCalcMain[Harmonized_Code],TableQCalcMain[[#This Row],[RowNumOfShownItems_Unsplit]]),"")</f>
        <v/>
      </c>
      <c r="P25" s="61" t="str">
        <f>IF(TableQCalcMain[[#This Row],[RowNumOfShownItems_Unsplit]]="","",INDEX(TableQCalcMain[Detailed_Ext_Price],TableQCalcMain[[#This Row],[RowNumOfShownItems_Unsplit]]))</f>
        <v/>
      </c>
      <c r="Q25" s="61" t="str">
        <f>IF(TableQCalcMain[[#This Row],[RowNumOfShownItems_Unsplit]]="","",INDEX(TableQCalcMain[Real_Quantity],TableQCalcMain[[#This Row],[RowNumOfShownItems_Unsplit]]))</f>
        <v/>
      </c>
      <c r="R25" s="61" t="str">
        <f>IF(TableQCalcMain[[#This Row],[RowNumOfShownItems_Unsplit]]="","",
IF(IFERROR(
INDEX(TableQCalcMain[Unit_Price],TableQCalcMain[[#This Row],[RowNumOfShownItems_Unsplit]]),0)=0,"",
INDEX(TableQCalcMain[Unit_Price],TableQCalcMain[[#This Row],[RowNumOfShownItems_Unsplit]])
))</f>
        <v/>
      </c>
      <c r="S25" s="61" t="str">
        <f>IF(TableQCalcMain[[#This Row],[RowNumOfShownItems_Unsplit]]="","",
IF(IFERROR(
INDEX(TableQCalcMain[Extended_price],TableQCalcMain[[#This Row],[RowNumOfShownItems_Unsplit]]),0)=0,"",
INDEX(TableQCalcMain[Extended_price],TableQCalcMain[[#This Row],[RowNumOfShownItems_Unsplit]])
))</f>
        <v/>
      </c>
      <c r="T25" t="str">
        <f t="array" ref="T25">IFERROR(MATCH(0,COUNTIF(N$2:$N24,TableQCalcMain[Description])+IF(TableQCalcMain[ShowDesc?]=0,1,0),0),"")</f>
        <v/>
      </c>
      <c r="U25" s="61" t="str">
        <f>IF(TableQCalcMain[[#This Row],[RowNumOfShownItems_SOFT]]&lt;&gt;"",INDEX(TableQCalcMain[Description],TableQCalcMain[[#This Row],[RowNumOfShownItems_SOFT]]),"")</f>
        <v/>
      </c>
      <c r="V25" s="61" t="str">
        <f>IF(TableQCalcMain[[#This Row],[RowNumOfShownItems_SOFT]]&lt;&gt;"",INDEX(TableQCalcMain[Harmonized_Code],TableQCalcMain[[#This Row],[RowNumOfShownItems_SOFT]]),"")</f>
        <v/>
      </c>
      <c r="W25" s="61" t="str">
        <f>IF(TableQCalcMain[[#This Row],[RowNumOfShownItems_SOFT]]="","",INDEX(TableQCalcMain[Detailed_Ext_Price],TableQCalcMain[[#This Row],[RowNumOfShownItems_SOFT]]))</f>
        <v/>
      </c>
      <c r="X25" s="61" t="str">
        <f>IF(TableQCalcMain[[#This Row],[RowNumOfShownItems_SOFT]]="","",INDEX(TableQCalcMain[Real_Quantity],TableQCalcMain[[#This Row],[RowNumOfShownItems_SOFT]]))</f>
        <v/>
      </c>
      <c r="Y25" s="61" t="str">
        <f>IF(TableQCalcMain[[#This Row],[RowNumOfShownItems_SOFT]]="","",INDEX(TableQCalcMain[Unit_Price],TableQCalcMain[[#This Row],[RowNumOfShownItems_SOFT]]))</f>
        <v/>
      </c>
      <c r="Z25" s="61" t="str">
        <f>IF(TableQCalcMain[[#This Row],[RowNumOfShownItems_SOFT]]="","",INDEX(TableQCalcMain[Extended_price],TableQCalcMain[[#This Row],[RowNumOfShownItems_SOFT]]))</f>
        <v/>
      </c>
      <c r="AA25" t="str">
        <f t="array" ref="AA25">IFERROR(MATCH(0,COUNTIF(U$2:$U24,TableQCalcMain[Description])+IF(TableQCalcMain[ShowSoft]=0,1,0),0),"")</f>
        <v/>
      </c>
      <c r="AB25" s="61" t="str">
        <f>IF(TableQCalcMain[[#This Row],[RowNumOfShownItems_Hard]]&lt;&gt;"",INDEX(TableQCalcMain[Description],TableQCalcMain[[#This Row],[RowNumOfShownItems_Hard]]),"")</f>
        <v/>
      </c>
      <c r="AC25" s="61" t="str">
        <f>IF(TableQCalcMain[[#This Row],[RowNumOfShownItems_Hard]]&lt;&gt;"",INDEX(TableQCalcMain[Harmonized_Code],TableQCalcMain[[#This Row],[RowNumOfShownItems_Hard]]),"")</f>
        <v/>
      </c>
      <c r="AD25" s="61" t="str">
        <f>IF(TableQCalcMain[[#This Row],[RowNumOfShownItems_Hard]]="","",INDEX(TableQCalcMain[Detailed_Ext_Price],TableQCalcMain[[#This Row],[RowNumOfShownItems_Hard]]))</f>
        <v/>
      </c>
      <c r="AE25" s="61" t="str">
        <f>IF(TableQCalcMain[[#This Row],[RowNumOfShownItems_Hard]]="","",INDEX(TableQCalcMain[Real_Quantity],TableQCalcMain[[#This Row],[RowNumOfShownItems_Hard]]))</f>
        <v/>
      </c>
      <c r="AF25" s="61" t="str">
        <f>IF(TableQCalcMain[[#This Row],[RowNumOfShownItems_Hard]]="","",
IF(IFERROR(
INDEX(TableQCalcMain[Unit_Price],TableQCalcMain[[#This Row],[RowNumOfShownItems_Hard]]),0)=0,"",
INDEX(TableQCalcMain[Unit_Price],TableQCalcMain[[#This Row],[RowNumOfShownItems_Hard]])
))</f>
        <v/>
      </c>
      <c r="AG25" s="61" t="str">
        <f>IF(TableQCalcMain[[#This Row],[RowNumOfShownItems_Hard]]="","",
IF(IFERROR(
INDEX(TableQCalcMain[Extended_price],TableQCalcMain[[#This Row],[RowNumOfShownItems_Hard]]),0)=0,"",
INDEX(TableQCalcMain[Extended_price],TableQCalcMain[[#This Row],[RowNumOfShownItems_Hard]])
))</f>
        <v/>
      </c>
      <c r="AH25" s="61" t="str">
        <f t="array" ref="AH25">IFERROR(MATCH(0,COUNTIF(AB$2:$AB24,TableQCalcMain[Description])+IF(TableQCalcMain[ShowHard]=0,1,0),0),"")</f>
        <v/>
      </c>
    </row>
    <row r="26" spans="1:34" ht="15.5" customHeight="1" x14ac:dyDescent="0.2">
      <c r="A26" s="734"/>
      <c r="B26" s="61" t="s">
        <v>322</v>
      </c>
      <c r="C26" s="61">
        <f>N($C$22)+N($C$27)</f>
        <v>0</v>
      </c>
      <c r="D26" s="764">
        <f>IF(AND(QUOTE_Split_SoftwareHardware,TableQCalcMain[[#This Row],[Real_Quantity]]&gt;0,NOT(AND(CELL_ChkBox_UpgradeUpdate,CELL_ChkB_RemoteUpdate))),1,0)</f>
        <v>0</v>
      </c>
      <c r="E26" s="61">
        <f>IF(QUOTE_InternetDownload,0,1)</f>
        <v>1</v>
      </c>
      <c r="F26" s="61">
        <f>IF(QUOTE_InternetDownload,1,0)</f>
        <v>0</v>
      </c>
      <c r="G26" s="61">
        <f>TableQCalcMain[[#This Row],[ShowDesc?]]*TableQCalcMain[[#This Row],[Software]]</f>
        <v>0</v>
      </c>
      <c r="H26" s="61">
        <f>TableQCalcMain[[#This Row],[ShowDesc?]]*TableQCalcMain[[#This Row],[Hardware]]</f>
        <v>0</v>
      </c>
      <c r="I26" s="61" t="str">
        <f xml:space="preserve">   SUBSTITUTE(
   IF(Francais,
"Clé USB pour WinSOFTWARE" &amp; IF(TableQCalcMain[[#This Row],[Hardware]]=1," et documents d'Instructions (expédiés par transporteur)",""),
"USB drive for WinSOFTWARE" &amp; IF(TableQCalcMain[[#This Row],[Hardware]]=1," and Instructions documents (shipped by courier)","")),
   "WinSOFTWARE","Win" &amp;  LEFT(TableQCalcMain[[#This Row],[Variable / Product ID]],FIND("_",TableQCalcMain[[#This Row],[Variable / Product ID]])-1) &amp; " " &amp; INDEX(CELL_UpgradeNameShort,CELL_IndexSoftware))</f>
        <v>Clé USB pour WinCELL Reg</v>
      </c>
      <c r="J26" s="61">
        <v>852351</v>
      </c>
      <c r="K26" s="61">
        <f>TableQCalcMain[[#This Row],[Extended_price]]</f>
        <v>0</v>
      </c>
      <c r="L26" s="61" t="str">
        <f>IF(OR(TableQCalcMain[[#This Row],[Real_Quantity]]=0,TableQCalcMain[[#This Row],[Extended_price]]=0),"",ROUND(TableQCalcMain[[#This Row],[Extended_price]]/TableQCalcMain[[#This Row],[Real_Quantity]],2))</f>
        <v/>
      </c>
      <c r="M26" s="61">
        <f>PrixUSBKey*TableQCalcMain[[#This Row],[Real_Quantity]]</f>
        <v>0</v>
      </c>
      <c r="N26" s="72" t="str">
        <f>IF(TableQCalcMain[[#This Row],[RowNumOfShownItems_Unsplit]]&lt;&gt;"",INDEX(TableQCalcMain[Description],TableQCalcMain[[#This Row],[RowNumOfShownItems_Unsplit]]),"")</f>
        <v/>
      </c>
      <c r="O26" s="61" t="str">
        <f>IF(TableQCalcMain[[#This Row],[RowNumOfShownItems_Unsplit]]&lt;&gt;"",INDEX(TableQCalcMain[Harmonized_Code],TableQCalcMain[[#This Row],[RowNumOfShownItems_Unsplit]]),"")</f>
        <v/>
      </c>
      <c r="P26" s="61" t="str">
        <f>IF(TableQCalcMain[[#This Row],[RowNumOfShownItems_Unsplit]]="","",INDEX(TableQCalcMain[Detailed_Ext_Price],TableQCalcMain[[#This Row],[RowNumOfShownItems_Unsplit]]))</f>
        <v/>
      </c>
      <c r="Q26" s="61" t="str">
        <f>IF(TableQCalcMain[[#This Row],[RowNumOfShownItems_Unsplit]]="","",INDEX(TableQCalcMain[Real_Quantity],TableQCalcMain[[#This Row],[RowNumOfShownItems_Unsplit]]))</f>
        <v/>
      </c>
      <c r="R26" s="61" t="str">
        <f>IF(TableQCalcMain[[#This Row],[RowNumOfShownItems_Unsplit]]="","",
IF(IFERROR(
INDEX(TableQCalcMain[Unit_Price],TableQCalcMain[[#This Row],[RowNumOfShownItems_Unsplit]]),0)=0,"",
INDEX(TableQCalcMain[Unit_Price],TableQCalcMain[[#This Row],[RowNumOfShownItems_Unsplit]])
))</f>
        <v/>
      </c>
      <c r="S26" s="61" t="str">
        <f>IF(TableQCalcMain[[#This Row],[RowNumOfShownItems_Unsplit]]="","",
IF(IFERROR(
INDEX(TableQCalcMain[Extended_price],TableQCalcMain[[#This Row],[RowNumOfShownItems_Unsplit]]),0)=0,"",
INDEX(TableQCalcMain[Extended_price],TableQCalcMain[[#This Row],[RowNumOfShownItems_Unsplit]])
))</f>
        <v/>
      </c>
      <c r="T26" t="str">
        <f t="array" ref="T26">IFERROR(MATCH(0,COUNTIF(N$2:$N25,TableQCalcMain[Description])+IF(TableQCalcMain[ShowDesc?]=0,1,0),0),"")</f>
        <v/>
      </c>
      <c r="U26" s="61" t="str">
        <f>IF(TableQCalcMain[[#This Row],[RowNumOfShownItems_SOFT]]&lt;&gt;"",INDEX(TableQCalcMain[Description],TableQCalcMain[[#This Row],[RowNumOfShownItems_SOFT]]),"")</f>
        <v/>
      </c>
      <c r="V26" s="61" t="str">
        <f>IF(TableQCalcMain[[#This Row],[RowNumOfShownItems_SOFT]]&lt;&gt;"",INDEX(TableQCalcMain[Harmonized_Code],TableQCalcMain[[#This Row],[RowNumOfShownItems_SOFT]]),"")</f>
        <v/>
      </c>
      <c r="W26" s="61" t="str">
        <f>IF(TableQCalcMain[[#This Row],[RowNumOfShownItems_SOFT]]="","",INDEX(TableQCalcMain[Detailed_Ext_Price],TableQCalcMain[[#This Row],[RowNumOfShownItems_SOFT]]))</f>
        <v/>
      </c>
      <c r="X26" s="61" t="str">
        <f>IF(TableQCalcMain[[#This Row],[RowNumOfShownItems_SOFT]]="","",INDEX(TableQCalcMain[Real_Quantity],TableQCalcMain[[#This Row],[RowNumOfShownItems_SOFT]]))</f>
        <v/>
      </c>
      <c r="Y26" s="61" t="str">
        <f>IF(TableQCalcMain[[#This Row],[RowNumOfShownItems_SOFT]]="","",INDEX(TableQCalcMain[Unit_Price],TableQCalcMain[[#This Row],[RowNumOfShownItems_SOFT]]))</f>
        <v/>
      </c>
      <c r="Z26" s="61" t="str">
        <f>IF(TableQCalcMain[[#This Row],[RowNumOfShownItems_SOFT]]="","",INDEX(TableQCalcMain[Extended_price],TableQCalcMain[[#This Row],[RowNumOfShownItems_SOFT]]))</f>
        <v/>
      </c>
      <c r="AA26" t="str">
        <f t="array" ref="AA26">IFERROR(MATCH(0,COUNTIF(U$2:$U25,TableQCalcMain[Description])+IF(TableQCalcMain[ShowSoft]=0,1,0),0),"")</f>
        <v/>
      </c>
      <c r="AB26" s="61" t="str">
        <f>IF(TableQCalcMain[[#This Row],[RowNumOfShownItems_Hard]]&lt;&gt;"",INDEX(TableQCalcMain[Description],TableQCalcMain[[#This Row],[RowNumOfShownItems_Hard]]),"")</f>
        <v/>
      </c>
      <c r="AC26" s="61" t="str">
        <f>IF(TableQCalcMain[[#This Row],[RowNumOfShownItems_Hard]]&lt;&gt;"",INDEX(TableQCalcMain[Harmonized_Code],TableQCalcMain[[#This Row],[RowNumOfShownItems_Hard]]),"")</f>
        <v/>
      </c>
      <c r="AD26" s="61" t="str">
        <f>IF(TableQCalcMain[[#This Row],[RowNumOfShownItems_Hard]]="","",INDEX(TableQCalcMain[Detailed_Ext_Price],TableQCalcMain[[#This Row],[RowNumOfShownItems_Hard]]))</f>
        <v/>
      </c>
      <c r="AE26" s="61" t="str">
        <f>IF(TableQCalcMain[[#This Row],[RowNumOfShownItems_Hard]]="","",INDEX(TableQCalcMain[Real_Quantity],TableQCalcMain[[#This Row],[RowNumOfShownItems_Hard]]))</f>
        <v/>
      </c>
      <c r="AF26" s="61" t="str">
        <f>IF(TableQCalcMain[[#This Row],[RowNumOfShownItems_Hard]]="","",
IF(IFERROR(
INDEX(TableQCalcMain[Unit_Price],TableQCalcMain[[#This Row],[RowNumOfShownItems_Hard]]),0)=0,"",
INDEX(TableQCalcMain[Unit_Price],TableQCalcMain[[#This Row],[RowNumOfShownItems_Hard]])
))</f>
        <v/>
      </c>
      <c r="AG26" s="61" t="str">
        <f>IF(TableQCalcMain[[#This Row],[RowNumOfShownItems_Hard]]="","",
IF(IFERROR(
INDEX(TableQCalcMain[Extended_price],TableQCalcMain[[#This Row],[RowNumOfShownItems_Hard]]),0)=0,"",
INDEX(TableQCalcMain[Extended_price],TableQCalcMain[[#This Row],[RowNumOfShownItems_Hard]])
))</f>
        <v/>
      </c>
      <c r="AH26" s="61" t="str">
        <f t="array" ref="AH26">IFERROR(MATCH(0,COUNTIF(AB$2:$AB25,TableQCalcMain[Description])+IF(TableQCalcMain[ShowHard]=0,1,0),0),"")</f>
        <v/>
      </c>
    </row>
    <row r="27" spans="1:34" ht="15.5" customHeight="1" x14ac:dyDescent="0.2">
      <c r="A27" s="734"/>
      <c r="B27" s="469" t="s">
        <v>62</v>
      </c>
      <c r="C27" s="61">
        <f>CELL_N_UpgradeUpdate-1</f>
        <v>0</v>
      </c>
      <c r="D27" s="61">
        <f>IFERROR(IF(OR(WinCELL!$G$5&gt;0,WinCELL!$G$6&gt;0),CELL_N_UpgradeUpdate-1,0),0)</f>
        <v>0</v>
      </c>
      <c r="E27" s="61">
        <v>1</v>
      </c>
      <c r="F27" s="61"/>
      <c r="G27" s="61">
        <f>TableQCalcMain[[#This Row],[ShowDesc?]]*TableQCalcMain[[#This Row],[Software]]</f>
        <v>0</v>
      </c>
      <c r="H27" s="61">
        <f>TableQCalcMain[[#This Row],[ShowDesc?]]*TableQCalcMain[[#This Row],[Hardware]]</f>
        <v>0</v>
      </c>
      <c r="I27" s="469" t="str">
        <f>IF(Francais,"Mise à jour de ","Update from ") &amp;
INDEX(CELL_SoftwareList,CELL_IndexClientVersion) &amp; CELL_YearClient &amp;
IF(Francais," à "," to ") &amp;
INDEX(CELL_SoftwareList,CELL_IndexSoftware) &amp; CELL_YearMostRecent  &amp; " " &amp; "&amp;" &amp; " XLCell"
&amp;
IF(QUOTE_Split_SoftwareHardware,IF(QUOTE_InternetDownload,IF(Francais, ", Téléchargement Internet", ", Internet download"),IF(Francais, ", Envoyé par transporteur", ", Shipped by courier")),IF(Francais," sur media USB (manuels PDF &amp; imprimés)"," on USB drive (PDF &amp; printed manuals)"))</f>
        <v>Mise à jour de WinCELL™ Reg 2005 à WinCELL™ Reg 2025 &amp; XLCell sur media USB (manuels PDF &amp; imprimés)</v>
      </c>
      <c r="J27" s="61">
        <f>WinCELL!I4</f>
        <v>852349</v>
      </c>
      <c r="K27" s="61" t="str">
        <f>""</f>
        <v/>
      </c>
      <c r="L27" s="61" t="e">
        <f>ROUND(TableQCalcMain[[#This Row],[Extended_price]]/TableQCalcMain[[#This Row],[Real_Quantity]],2)</f>
        <v>#DIV/0!</v>
      </c>
      <c r="M27" s="764">
        <f>ROUND(IF(Distributeurs_Rabais,IFERROR(QCalc!G201,0),IFERROR(QCalc!F201,0))
-IF(AND(NOT(CELL_ChkB_RemoteUpdate),QUOTE_Split_SoftwareHardware),PrixUSBKey*(CELL_N_UpgradeUpdate-1),0),2)</f>
        <v>0</v>
      </c>
      <c r="N27" s="72" t="str">
        <f>IF(TableQCalcMain[[#This Row],[RowNumOfShownItems_Unsplit]]&lt;&gt;"",INDEX(TableQCalcMain[Description],TableQCalcMain[[#This Row],[RowNumOfShownItems_Unsplit]]),"")</f>
        <v/>
      </c>
      <c r="O27" s="61" t="str">
        <f>IF(TableQCalcMain[[#This Row],[RowNumOfShownItems_Unsplit]]&lt;&gt;"",INDEX(TableQCalcMain[Harmonized_Code],TableQCalcMain[[#This Row],[RowNumOfShownItems_Unsplit]]),"")</f>
        <v/>
      </c>
      <c r="P27" s="61" t="str">
        <f>IF(TableQCalcMain[[#This Row],[RowNumOfShownItems_Unsplit]]="","",INDEX(TableQCalcMain[Detailed_Ext_Price],TableQCalcMain[[#This Row],[RowNumOfShownItems_Unsplit]]))</f>
        <v/>
      </c>
      <c r="Q27" s="61" t="str">
        <f>IF(TableQCalcMain[[#This Row],[RowNumOfShownItems_Unsplit]]="","",INDEX(TableQCalcMain[Real_Quantity],TableQCalcMain[[#This Row],[RowNumOfShownItems_Unsplit]]))</f>
        <v/>
      </c>
      <c r="R27" s="61" t="str">
        <f>IF(TableQCalcMain[[#This Row],[RowNumOfShownItems_Unsplit]]="","",
IF(IFERROR(
INDEX(TableQCalcMain[Unit_Price],TableQCalcMain[[#This Row],[RowNumOfShownItems_Unsplit]]),0)=0,"",
INDEX(TableQCalcMain[Unit_Price],TableQCalcMain[[#This Row],[RowNumOfShownItems_Unsplit]])
))</f>
        <v/>
      </c>
      <c r="S27" s="61" t="str">
        <f>IF(TableQCalcMain[[#This Row],[RowNumOfShownItems_Unsplit]]="","",
IF(IFERROR(
INDEX(TableQCalcMain[Extended_price],TableQCalcMain[[#This Row],[RowNumOfShownItems_Unsplit]]),0)=0,"",
INDEX(TableQCalcMain[Extended_price],TableQCalcMain[[#This Row],[RowNumOfShownItems_Unsplit]])
))</f>
        <v/>
      </c>
      <c r="T27" t="str">
        <f t="array" ref="T27">IFERROR(MATCH(0,COUNTIF(N$2:$N26,TableQCalcMain[Description])+IF(TableQCalcMain[ShowDesc?]=0,1,0),0),"")</f>
        <v/>
      </c>
      <c r="U27" s="61" t="str">
        <f>IF(TableQCalcMain[[#This Row],[RowNumOfShownItems_SOFT]]&lt;&gt;"",INDEX(TableQCalcMain[Description],TableQCalcMain[[#This Row],[RowNumOfShownItems_SOFT]]),"")</f>
        <v/>
      </c>
      <c r="V27" s="61" t="str">
        <f>IF(TableQCalcMain[[#This Row],[RowNumOfShownItems_SOFT]]&lt;&gt;"",INDEX(TableQCalcMain[Harmonized_Code],TableQCalcMain[[#This Row],[RowNumOfShownItems_SOFT]]),"")</f>
        <v/>
      </c>
      <c r="W27" s="61" t="str">
        <f>IF(TableQCalcMain[[#This Row],[RowNumOfShownItems_SOFT]]="","",INDEX(TableQCalcMain[Detailed_Ext_Price],TableQCalcMain[[#This Row],[RowNumOfShownItems_SOFT]]))</f>
        <v/>
      </c>
      <c r="X27" s="61" t="str">
        <f>IF(TableQCalcMain[[#This Row],[RowNumOfShownItems_SOFT]]="","",INDEX(TableQCalcMain[Real_Quantity],TableQCalcMain[[#This Row],[RowNumOfShownItems_SOFT]]))</f>
        <v/>
      </c>
      <c r="Y27" s="61" t="str">
        <f>IF(TableQCalcMain[[#This Row],[RowNumOfShownItems_SOFT]]="","",INDEX(TableQCalcMain[Unit_Price],TableQCalcMain[[#This Row],[RowNumOfShownItems_SOFT]]))</f>
        <v/>
      </c>
      <c r="Z27" s="61" t="str">
        <f>IF(TableQCalcMain[[#This Row],[RowNumOfShownItems_SOFT]]="","",INDEX(TableQCalcMain[Extended_price],TableQCalcMain[[#This Row],[RowNumOfShownItems_SOFT]]))</f>
        <v/>
      </c>
      <c r="AA27" t="str">
        <f t="array" ref="AA27">IFERROR(MATCH(0,COUNTIF(U$2:$U26,TableQCalcMain[Description])+IF(TableQCalcMain[ShowSoft]=0,1,0),0),"")</f>
        <v/>
      </c>
      <c r="AB27" s="61" t="str">
        <f>IF(TableQCalcMain[[#This Row],[RowNumOfShownItems_Hard]]&lt;&gt;"",INDEX(TableQCalcMain[Description],TableQCalcMain[[#This Row],[RowNumOfShownItems_Hard]]),"")</f>
        <v/>
      </c>
      <c r="AC27" s="61" t="str">
        <f>IF(TableQCalcMain[[#This Row],[RowNumOfShownItems_Hard]]&lt;&gt;"",INDEX(TableQCalcMain[Harmonized_Code],TableQCalcMain[[#This Row],[RowNumOfShownItems_Hard]]),"")</f>
        <v/>
      </c>
      <c r="AD27" s="61" t="str">
        <f>IF(TableQCalcMain[[#This Row],[RowNumOfShownItems_Hard]]="","",INDEX(TableQCalcMain[Detailed_Ext_Price],TableQCalcMain[[#This Row],[RowNumOfShownItems_Hard]]))</f>
        <v/>
      </c>
      <c r="AE27" s="61" t="str">
        <f>IF(TableQCalcMain[[#This Row],[RowNumOfShownItems_Hard]]="","",INDEX(TableQCalcMain[Real_Quantity],TableQCalcMain[[#This Row],[RowNumOfShownItems_Hard]]))</f>
        <v/>
      </c>
      <c r="AF27" s="61" t="str">
        <f>IF(TableQCalcMain[[#This Row],[RowNumOfShownItems_Hard]]="","",
IF(IFERROR(
INDEX(TableQCalcMain[Unit_Price],TableQCalcMain[[#This Row],[RowNumOfShownItems_Hard]]),0)=0,"",
INDEX(TableQCalcMain[Unit_Price],TableQCalcMain[[#This Row],[RowNumOfShownItems_Hard]])
))</f>
        <v/>
      </c>
      <c r="AG27" s="61" t="str">
        <f>IF(TableQCalcMain[[#This Row],[RowNumOfShownItems_Hard]]="","",
IF(IFERROR(
INDEX(TableQCalcMain[Extended_price],TableQCalcMain[[#This Row],[RowNumOfShownItems_Hard]]),0)=0,"",
INDEX(TableQCalcMain[Extended_price],TableQCalcMain[[#This Row],[RowNumOfShownItems_Hard]])
))</f>
        <v/>
      </c>
      <c r="AH27" s="61" t="str">
        <f t="array" ref="AH27">IFERROR(MATCH(0,COUNTIF(AB$2:$AB26,TableQCalcMain[Description])+IF(TableQCalcMain[ShowHard]=0,1,0),0),"")</f>
        <v/>
      </c>
    </row>
    <row r="28" spans="1:34" ht="15.5" customHeight="1" x14ac:dyDescent="0.2">
      <c r="A28" s="734"/>
      <c r="B28" s="470" t="s">
        <v>331</v>
      </c>
      <c r="C28" s="61" t="str">
        <f>""</f>
        <v/>
      </c>
      <c r="D28" s="61">
        <f>IF(QUOTE_Split_SoftwareHardware,N($C$27),0)</f>
        <v>0</v>
      </c>
      <c r="E28" s="61">
        <v>1</v>
      </c>
      <c r="F28" s="61"/>
      <c r="G28" s="61">
        <f>TableQCalcMain[[#This Row],[ShowDesc?]]*TableQCalcMain[[#This Row],[Software]]</f>
        <v>0</v>
      </c>
      <c r="H28" s="61"/>
      <c r="I28" s="61" t="str">
        <f>"         • " &amp; IF(AND(QUOTE_Split_SoftwareHardware,QUOTE_InternetDownload),
IF(Francais,"Logiciels et documents d'instructions (fichiers PDF)","Software &amp; Instructions documents (PDF files)"),
IF(Francais,"Logiciel et documents d'instructions (" &amp; IF(QUOTE_InternetDownload,"sur clé USB","PDF") &amp; " et imprimés)","Software &amp; Instructions documents (" &amp; IF(QUOTE_InternetDownload,"on USB Key","PDF") &amp; " &amp; printed)"))
&amp;REPT(" ",3)</f>
        <v xml:space="preserve">         • Logiciel et documents d'instructions (PDF et imprimés)   </v>
      </c>
      <c r="J28" s="61" t="str">
        <f>""</f>
        <v/>
      </c>
      <c r="K28" s="61" t="str">
        <f>""</f>
        <v/>
      </c>
      <c r="L28" s="61" t="str">
        <f>""</f>
        <v/>
      </c>
      <c r="M28" s="61" t="str">
        <f>""</f>
        <v/>
      </c>
      <c r="N28" s="72" t="str">
        <f>IF(TableQCalcMain[[#This Row],[RowNumOfShownItems_Unsplit]]&lt;&gt;"",INDEX(TableQCalcMain[Description],TableQCalcMain[[#This Row],[RowNumOfShownItems_Unsplit]]),"")</f>
        <v/>
      </c>
      <c r="O28" s="61" t="str">
        <f>IF(TableQCalcMain[[#This Row],[RowNumOfShownItems_Unsplit]]&lt;&gt;"",INDEX(TableQCalcMain[Harmonized_Code],TableQCalcMain[[#This Row],[RowNumOfShownItems_Unsplit]]),"")</f>
        <v/>
      </c>
      <c r="P28" s="61" t="str">
        <f>IF(TableQCalcMain[[#This Row],[RowNumOfShownItems_Unsplit]]="","",INDEX(TableQCalcMain[Detailed_Ext_Price],TableQCalcMain[[#This Row],[RowNumOfShownItems_Unsplit]]))</f>
        <v/>
      </c>
      <c r="Q28" s="61" t="str">
        <f>IF(TableQCalcMain[[#This Row],[RowNumOfShownItems_Unsplit]]="","",INDEX(TableQCalcMain[Real_Quantity],TableQCalcMain[[#This Row],[RowNumOfShownItems_Unsplit]]))</f>
        <v/>
      </c>
      <c r="R28" s="61" t="str">
        <f>IF(TableQCalcMain[[#This Row],[RowNumOfShownItems_Unsplit]]="","",
IF(IFERROR(
INDEX(TableQCalcMain[Unit_Price],TableQCalcMain[[#This Row],[RowNumOfShownItems_Unsplit]]),0)=0,"",
INDEX(TableQCalcMain[Unit_Price],TableQCalcMain[[#This Row],[RowNumOfShownItems_Unsplit]])
))</f>
        <v/>
      </c>
      <c r="S28" s="61" t="str">
        <f>IF(TableQCalcMain[[#This Row],[RowNumOfShownItems_Unsplit]]="","",
IF(IFERROR(
INDEX(TableQCalcMain[Extended_price],TableQCalcMain[[#This Row],[RowNumOfShownItems_Unsplit]]),0)=0,"",
INDEX(TableQCalcMain[Extended_price],TableQCalcMain[[#This Row],[RowNumOfShownItems_Unsplit]])
))</f>
        <v/>
      </c>
      <c r="T28" t="str">
        <f t="array" ref="T28">IFERROR(MATCH(0,COUNTIF(N$2:$N27,TableQCalcMain[Description])+IF(TableQCalcMain[ShowDesc?]=0,1,0),0),"")</f>
        <v/>
      </c>
      <c r="U28" s="61" t="str">
        <f>IF(TableQCalcMain[[#This Row],[RowNumOfShownItems_SOFT]]&lt;&gt;"",INDEX(TableQCalcMain[Description],TableQCalcMain[[#This Row],[RowNumOfShownItems_SOFT]]),"")</f>
        <v/>
      </c>
      <c r="V28" s="61" t="str">
        <f>IF(TableQCalcMain[[#This Row],[RowNumOfShownItems_SOFT]]&lt;&gt;"",INDEX(TableQCalcMain[Harmonized_Code],TableQCalcMain[[#This Row],[RowNumOfShownItems_SOFT]]),"")</f>
        <v/>
      </c>
      <c r="W28" s="61" t="str">
        <f>IF(TableQCalcMain[[#This Row],[RowNumOfShownItems_SOFT]]="","",INDEX(TableQCalcMain[Detailed_Ext_Price],TableQCalcMain[[#This Row],[RowNumOfShownItems_SOFT]]))</f>
        <v/>
      </c>
      <c r="X28" s="61" t="str">
        <f>IF(TableQCalcMain[[#This Row],[RowNumOfShownItems_SOFT]]="","",INDEX(TableQCalcMain[Real_Quantity],TableQCalcMain[[#This Row],[RowNumOfShownItems_SOFT]]))</f>
        <v/>
      </c>
      <c r="Y28" s="61" t="str">
        <f>IF(TableQCalcMain[[#This Row],[RowNumOfShownItems_SOFT]]="","",INDEX(TableQCalcMain[Unit_Price],TableQCalcMain[[#This Row],[RowNumOfShownItems_SOFT]]))</f>
        <v/>
      </c>
      <c r="Z28" s="61" t="str">
        <f>IF(TableQCalcMain[[#This Row],[RowNumOfShownItems_SOFT]]="","",INDEX(TableQCalcMain[Extended_price],TableQCalcMain[[#This Row],[RowNumOfShownItems_SOFT]]))</f>
        <v/>
      </c>
      <c r="AA28" t="str">
        <f t="array" ref="AA28">IFERROR(MATCH(0,COUNTIF(U$2:$U27,TableQCalcMain[Description])+IF(TableQCalcMain[ShowSoft]=0,1,0),0),"")</f>
        <v/>
      </c>
      <c r="AB28" s="61" t="str">
        <f>IF(TableQCalcMain[[#This Row],[RowNumOfShownItems_Hard]]&lt;&gt;"",INDEX(TableQCalcMain[Description],TableQCalcMain[[#This Row],[RowNumOfShownItems_Hard]]),"")</f>
        <v/>
      </c>
      <c r="AC28" s="61" t="str">
        <f>IF(TableQCalcMain[[#This Row],[RowNumOfShownItems_Hard]]&lt;&gt;"",INDEX(TableQCalcMain[Harmonized_Code],TableQCalcMain[[#This Row],[RowNumOfShownItems_Hard]]),"")</f>
        <v/>
      </c>
      <c r="AD28" s="61" t="str">
        <f>IF(TableQCalcMain[[#This Row],[RowNumOfShownItems_Hard]]="","",INDEX(TableQCalcMain[Detailed_Ext_Price],TableQCalcMain[[#This Row],[RowNumOfShownItems_Hard]]))</f>
        <v/>
      </c>
      <c r="AE28" s="61" t="str">
        <f>IF(TableQCalcMain[[#This Row],[RowNumOfShownItems_Hard]]="","",INDEX(TableQCalcMain[Real_Quantity],TableQCalcMain[[#This Row],[RowNumOfShownItems_Hard]]))</f>
        <v/>
      </c>
      <c r="AF28" s="61" t="str">
        <f>IF(TableQCalcMain[[#This Row],[RowNumOfShownItems_Hard]]="","",
IF(IFERROR(
INDEX(TableQCalcMain[Unit_Price],TableQCalcMain[[#This Row],[RowNumOfShownItems_Hard]]),0)=0,"",
INDEX(TableQCalcMain[Unit_Price],TableQCalcMain[[#This Row],[RowNumOfShownItems_Hard]])
))</f>
        <v/>
      </c>
      <c r="AG28" s="61" t="str">
        <f>IF(TableQCalcMain[[#This Row],[RowNumOfShownItems_Hard]]="","",
IF(IFERROR(
INDEX(TableQCalcMain[Extended_price],TableQCalcMain[[#This Row],[RowNumOfShownItems_Hard]]),0)=0,"",
INDEX(TableQCalcMain[Extended_price],TableQCalcMain[[#This Row],[RowNumOfShownItems_Hard]])
))</f>
        <v/>
      </c>
      <c r="AH28" s="61" t="str">
        <f t="array" ref="AH28">IFERROR(MATCH(0,COUNTIF(AB$2:$AB27,TableQCalcMain[Description])+IF(TableQCalcMain[ShowHard]=0,1,0),0),"")</f>
        <v/>
      </c>
    </row>
    <row r="29" spans="1:34" ht="15.5" customHeight="1" x14ac:dyDescent="0.2">
      <c r="B29" s="536" t="s">
        <v>108</v>
      </c>
      <c r="C29" s="536" t="str">
        <f>""</f>
        <v/>
      </c>
      <c r="D29" s="536">
        <f>SUM(D22:D28)</f>
        <v>0</v>
      </c>
      <c r="E29" s="61">
        <v>1</v>
      </c>
      <c r="F29" s="536">
        <v>1</v>
      </c>
      <c r="G29" s="536">
        <f>SUM(G22:G28)</f>
        <v>0</v>
      </c>
      <c r="H29" s="536">
        <f>SUM(H22:H28)</f>
        <v>0</v>
      </c>
      <c r="I29" s="536" t="str">
        <f>REPT(" ",1)</f>
        <v xml:space="preserve"> </v>
      </c>
      <c r="J29" s="536" t="str">
        <f>""</f>
        <v/>
      </c>
      <c r="K29" s="536" t="str">
        <f>""</f>
        <v/>
      </c>
      <c r="L29" s="536" t="str">
        <f>""</f>
        <v/>
      </c>
      <c r="M29" s="536" t="str">
        <f>""</f>
        <v/>
      </c>
      <c r="N29" s="72" t="str">
        <f>IF(TableQCalcMain[[#This Row],[RowNumOfShownItems_Unsplit]]&lt;&gt;"",INDEX(TableQCalcMain[Description],TableQCalcMain[[#This Row],[RowNumOfShownItems_Unsplit]]),"")</f>
        <v/>
      </c>
      <c r="O29" s="61" t="str">
        <f>IF(TableQCalcMain[[#This Row],[RowNumOfShownItems_Unsplit]]&lt;&gt;"",INDEX(TableQCalcMain[Harmonized_Code],TableQCalcMain[[#This Row],[RowNumOfShownItems_Unsplit]]),"")</f>
        <v/>
      </c>
      <c r="P29" s="61" t="str">
        <f>IF(TableQCalcMain[[#This Row],[RowNumOfShownItems_Unsplit]]="","",INDEX(TableQCalcMain[Detailed_Ext_Price],TableQCalcMain[[#This Row],[RowNumOfShownItems_Unsplit]]))</f>
        <v/>
      </c>
      <c r="Q29" s="61" t="str">
        <f>IF(TableQCalcMain[[#This Row],[RowNumOfShownItems_Unsplit]]="","",INDEX(TableQCalcMain[Real_Quantity],TableQCalcMain[[#This Row],[RowNumOfShownItems_Unsplit]]))</f>
        <v/>
      </c>
      <c r="R29" s="61" t="str">
        <f>IF(TableQCalcMain[[#This Row],[RowNumOfShownItems_Unsplit]]="","",
IF(IFERROR(
INDEX(TableQCalcMain[Unit_Price],TableQCalcMain[[#This Row],[RowNumOfShownItems_Unsplit]]),0)=0,"",
INDEX(TableQCalcMain[Unit_Price],TableQCalcMain[[#This Row],[RowNumOfShownItems_Unsplit]])
))</f>
        <v/>
      </c>
      <c r="S29" s="61" t="str">
        <f>IF(TableQCalcMain[[#This Row],[RowNumOfShownItems_Unsplit]]="","",
IF(IFERROR(
INDEX(TableQCalcMain[Extended_price],TableQCalcMain[[#This Row],[RowNumOfShownItems_Unsplit]]),0)=0,"",
INDEX(TableQCalcMain[Extended_price],TableQCalcMain[[#This Row],[RowNumOfShownItems_Unsplit]])
))</f>
        <v/>
      </c>
      <c r="T29" t="str">
        <f t="array" ref="T29">IFERROR(MATCH(0,COUNTIF(N$2:$N28,TableQCalcMain[Description])+IF(TableQCalcMain[ShowDesc?]=0,1,0),0),"")</f>
        <v/>
      </c>
      <c r="U29" s="61" t="str">
        <f>IF(TableQCalcMain[[#This Row],[RowNumOfShownItems_SOFT]]&lt;&gt;"",INDEX(TableQCalcMain[Description],TableQCalcMain[[#This Row],[RowNumOfShownItems_SOFT]]),"")</f>
        <v/>
      </c>
      <c r="V29" s="61" t="str">
        <f>IF(TableQCalcMain[[#This Row],[RowNumOfShownItems_SOFT]]&lt;&gt;"",INDEX(TableQCalcMain[Harmonized_Code],TableQCalcMain[[#This Row],[RowNumOfShownItems_SOFT]]),"")</f>
        <v/>
      </c>
      <c r="W29" s="61" t="str">
        <f>IF(TableQCalcMain[[#This Row],[RowNumOfShownItems_SOFT]]="","",INDEX(TableQCalcMain[Detailed_Ext_Price],TableQCalcMain[[#This Row],[RowNumOfShownItems_SOFT]]))</f>
        <v/>
      </c>
      <c r="X29" s="61" t="str">
        <f>IF(TableQCalcMain[[#This Row],[RowNumOfShownItems_SOFT]]="","",INDEX(TableQCalcMain[Real_Quantity],TableQCalcMain[[#This Row],[RowNumOfShownItems_SOFT]]))</f>
        <v/>
      </c>
      <c r="Y29" s="61" t="str">
        <f>IF(TableQCalcMain[[#This Row],[RowNumOfShownItems_SOFT]]="","",INDEX(TableQCalcMain[Unit_Price],TableQCalcMain[[#This Row],[RowNumOfShownItems_SOFT]]))</f>
        <v/>
      </c>
      <c r="Z29" s="61" t="str">
        <f>IF(TableQCalcMain[[#This Row],[RowNumOfShownItems_SOFT]]="","",INDEX(TableQCalcMain[Extended_price],TableQCalcMain[[#This Row],[RowNumOfShownItems_SOFT]]))</f>
        <v/>
      </c>
      <c r="AA29" t="str">
        <f t="array" ref="AA29">IFERROR(MATCH(0,COUNTIF(U$2:$U28,TableQCalcMain[Description])+IF(TableQCalcMain[ShowSoft]=0,1,0),0),"")</f>
        <v/>
      </c>
      <c r="AB29" s="61" t="str">
        <f>IF(TableQCalcMain[[#This Row],[RowNumOfShownItems_Hard]]&lt;&gt;"",INDEX(TableQCalcMain[Description],TableQCalcMain[[#This Row],[RowNumOfShownItems_Hard]]),"")</f>
        <v/>
      </c>
      <c r="AC29" s="61" t="str">
        <f>IF(TableQCalcMain[[#This Row],[RowNumOfShownItems_Hard]]&lt;&gt;"",INDEX(TableQCalcMain[Harmonized_Code],TableQCalcMain[[#This Row],[RowNumOfShownItems_Hard]]),"")</f>
        <v/>
      </c>
      <c r="AD29" s="61" t="str">
        <f>IF(TableQCalcMain[[#This Row],[RowNumOfShownItems_Hard]]="","",INDEX(TableQCalcMain[Detailed_Ext_Price],TableQCalcMain[[#This Row],[RowNumOfShownItems_Hard]]))</f>
        <v/>
      </c>
      <c r="AE29" s="61" t="str">
        <f>IF(TableQCalcMain[[#This Row],[RowNumOfShownItems_Hard]]="","",INDEX(TableQCalcMain[Real_Quantity],TableQCalcMain[[#This Row],[RowNumOfShownItems_Hard]]))</f>
        <v/>
      </c>
      <c r="AF29" s="61" t="str">
        <f>IF(TableQCalcMain[[#This Row],[RowNumOfShownItems_Hard]]="","",
IF(IFERROR(
INDEX(TableQCalcMain[Unit_Price],TableQCalcMain[[#This Row],[RowNumOfShownItems_Hard]]),0)=0,"",
INDEX(TableQCalcMain[Unit_Price],TableQCalcMain[[#This Row],[RowNumOfShownItems_Hard]])
))</f>
        <v/>
      </c>
      <c r="AG29" s="61" t="str">
        <f>IF(TableQCalcMain[[#This Row],[RowNumOfShownItems_Hard]]="","",
IF(IFERROR(
INDEX(TableQCalcMain[Extended_price],TableQCalcMain[[#This Row],[RowNumOfShownItems_Hard]]),0)=0,"",
INDEX(TableQCalcMain[Extended_price],TableQCalcMain[[#This Row],[RowNumOfShownItems_Hard]])
))</f>
        <v/>
      </c>
      <c r="AH29" s="61" t="str">
        <f t="array" ref="AH29">IFERROR(MATCH(0,COUNTIF(AB$2:$AB28,TableQCalcMain[Description])+IF(TableQCalcMain[ShowHard]=0,1,0),0),"")</f>
        <v/>
      </c>
    </row>
    <row r="30" spans="1:34" ht="15.5" customHeight="1" x14ac:dyDescent="0.2">
      <c r="A30" s="539"/>
      <c r="B30" s="61" t="s">
        <v>22</v>
      </c>
      <c r="C30" s="455">
        <f>RHIZO_N_System-1</f>
        <v>0</v>
      </c>
      <c r="D30" s="61">
        <f>IF(IFERROR(WinRHIZO!$H$14+0,0)&gt;0,RHIZO_N_System-1,0)</f>
        <v>0</v>
      </c>
      <c r="E30" s="61">
        <v>1</v>
      </c>
      <c r="F30" s="61">
        <v>1</v>
      </c>
      <c r="G30" s="61">
        <v>0</v>
      </c>
      <c r="H30" s="61">
        <v>0</v>
      </c>
      <c r="I30" s="455" t="str">
        <f>QCalc!I195 &amp; IF(Francais," Incluant:"," Including:")&amp; REPT(" ",1)</f>
        <v xml:space="preserve">WinRHIZO™ Reg 2025 Logiciel Avec Scanner Incluant: </v>
      </c>
      <c r="J30" s="61">
        <f>WinRHIZO!I14</f>
        <v>903149</v>
      </c>
      <c r="K30" s="548">
        <f>TableQCalcMain[[#This Row],[Extended_price]]</f>
        <v>0</v>
      </c>
      <c r="L30" s="61" t="str">
        <f>IF(OR(TableQCalcMain[[#This Row],[Real_Quantity]]=0,TableQCalcMain[[#This Row],[Extended_price]]=0),"",ROUND(TableQCalcMain[[#This Row],[Extended_price]]/TableQCalcMain[[#This Row],[Real_Quantity]],2))</f>
        <v/>
      </c>
      <c r="M30" s="710">
        <f>ROUND(
IF(Distributeurs_Rabais,
IFERROR(WinRHIZO!#REF! + WinRHIZO!#REF!,0),
WinRHIZO!H4 + WinRHIZO!H14)+0*K32,
0)</f>
        <v>0</v>
      </c>
      <c r="N30" s="72" t="str">
        <f>IF(TableQCalcMain[[#This Row],[RowNumOfShownItems_Unsplit]]&lt;&gt;"",INDEX(TableQCalcMain[Description],TableQCalcMain[[#This Row],[RowNumOfShownItems_Unsplit]]),"")</f>
        <v/>
      </c>
      <c r="O30" s="61" t="str">
        <f>IF(TableQCalcMain[[#This Row],[RowNumOfShownItems_Unsplit]]&lt;&gt;"",INDEX(TableQCalcMain[Harmonized_Code],TableQCalcMain[[#This Row],[RowNumOfShownItems_Unsplit]]),"")</f>
        <v/>
      </c>
      <c r="P30" s="61" t="str">
        <f>IF(TableQCalcMain[[#This Row],[RowNumOfShownItems_Unsplit]]="","",INDEX(TableQCalcMain[Detailed_Ext_Price],TableQCalcMain[[#This Row],[RowNumOfShownItems_Unsplit]]))</f>
        <v/>
      </c>
      <c r="Q30" s="61" t="str">
        <f>IF(TableQCalcMain[[#This Row],[RowNumOfShownItems_Unsplit]]="","",INDEX(TableQCalcMain[Real_Quantity],TableQCalcMain[[#This Row],[RowNumOfShownItems_Unsplit]]))</f>
        <v/>
      </c>
      <c r="R30" s="61" t="str">
        <f>IF(TableQCalcMain[[#This Row],[RowNumOfShownItems_Unsplit]]="","",
IF(IFERROR(
INDEX(TableQCalcMain[Unit_Price],TableQCalcMain[[#This Row],[RowNumOfShownItems_Unsplit]]),0)=0,"",
INDEX(TableQCalcMain[Unit_Price],TableQCalcMain[[#This Row],[RowNumOfShownItems_Unsplit]])
))</f>
        <v/>
      </c>
      <c r="S30" s="61" t="str">
        <f>IF(TableQCalcMain[[#This Row],[RowNumOfShownItems_Unsplit]]="","",
IF(IFERROR(
INDEX(TableQCalcMain[Extended_price],TableQCalcMain[[#This Row],[RowNumOfShownItems_Unsplit]]),0)=0,"",
INDEX(TableQCalcMain[Extended_price],TableQCalcMain[[#This Row],[RowNumOfShownItems_Unsplit]])
))</f>
        <v/>
      </c>
      <c r="T30" t="str">
        <f t="array" ref="T30">IFERROR(MATCH(0,COUNTIF(N$2:$N29,TableQCalcMain[Description])+IF(TableQCalcMain[ShowDesc?]=0,1,0),0),"")</f>
        <v/>
      </c>
      <c r="U30" s="61" t="str">
        <f>IF(TableQCalcMain[[#This Row],[RowNumOfShownItems_SOFT]]&lt;&gt;"",INDEX(TableQCalcMain[Description],TableQCalcMain[[#This Row],[RowNumOfShownItems_SOFT]]),"")</f>
        <v/>
      </c>
      <c r="V30" s="61" t="str">
        <f>IF(TableQCalcMain[[#This Row],[RowNumOfShownItems_SOFT]]&lt;&gt;"",INDEX(TableQCalcMain[Harmonized_Code],TableQCalcMain[[#This Row],[RowNumOfShownItems_SOFT]]),"")</f>
        <v/>
      </c>
      <c r="W30" s="61" t="str">
        <f>IF(TableQCalcMain[[#This Row],[RowNumOfShownItems_SOFT]]="","",INDEX(TableQCalcMain[Detailed_Ext_Price],TableQCalcMain[[#This Row],[RowNumOfShownItems_SOFT]]))</f>
        <v/>
      </c>
      <c r="X30" s="61" t="str">
        <f>IF(TableQCalcMain[[#This Row],[RowNumOfShownItems_SOFT]]="","",INDEX(TableQCalcMain[Real_Quantity],TableQCalcMain[[#This Row],[RowNumOfShownItems_SOFT]]))</f>
        <v/>
      </c>
      <c r="Y30" s="61" t="str">
        <f>IF(TableQCalcMain[[#This Row],[RowNumOfShownItems_SOFT]]="","",INDEX(TableQCalcMain[Unit_Price],TableQCalcMain[[#This Row],[RowNumOfShownItems_SOFT]]))</f>
        <v/>
      </c>
      <c r="Z30" s="61" t="str">
        <f>IF(TableQCalcMain[[#This Row],[RowNumOfShownItems_SOFT]]="","",INDEX(TableQCalcMain[Extended_price],TableQCalcMain[[#This Row],[RowNumOfShownItems_SOFT]]))</f>
        <v/>
      </c>
      <c r="AA30" t="str">
        <f t="array" ref="AA30">IFERROR(MATCH(0,COUNTIF(U$2:$U29,TableQCalcMain[Description])+IF(TableQCalcMain[ShowSoft]=0,1,0),0),"")</f>
        <v/>
      </c>
      <c r="AB30" s="61" t="str">
        <f>IF(TableQCalcMain[[#This Row],[RowNumOfShownItems_Hard]]&lt;&gt;"",INDEX(TableQCalcMain[Description],TableQCalcMain[[#This Row],[RowNumOfShownItems_Hard]]),"")</f>
        <v/>
      </c>
      <c r="AC30" s="61" t="str">
        <f>IF(TableQCalcMain[[#This Row],[RowNumOfShownItems_Hard]]&lt;&gt;"",INDEX(TableQCalcMain[Harmonized_Code],TableQCalcMain[[#This Row],[RowNumOfShownItems_Hard]]),"")</f>
        <v/>
      </c>
      <c r="AD30" s="61" t="str">
        <f>IF(TableQCalcMain[[#This Row],[RowNumOfShownItems_Hard]]="","",INDEX(TableQCalcMain[Detailed_Ext_Price],TableQCalcMain[[#This Row],[RowNumOfShownItems_Hard]]))</f>
        <v/>
      </c>
      <c r="AE30" s="61" t="str">
        <f>IF(TableQCalcMain[[#This Row],[RowNumOfShownItems_Hard]]="","",INDEX(TableQCalcMain[Real_Quantity],TableQCalcMain[[#This Row],[RowNumOfShownItems_Hard]]))</f>
        <v/>
      </c>
      <c r="AF30" s="61" t="str">
        <f>IF(TableQCalcMain[[#This Row],[RowNumOfShownItems_Hard]]="","",
IF(IFERROR(
INDEX(TableQCalcMain[Unit_Price],TableQCalcMain[[#This Row],[RowNumOfShownItems_Hard]]),0)=0,"",
INDEX(TableQCalcMain[Unit_Price],TableQCalcMain[[#This Row],[RowNumOfShownItems_Hard]])
))</f>
        <v/>
      </c>
      <c r="AG30" s="61" t="str">
        <f>IF(TableQCalcMain[[#This Row],[RowNumOfShownItems_Hard]]="","",
IF(IFERROR(
INDEX(TableQCalcMain[Extended_price],TableQCalcMain[[#This Row],[RowNumOfShownItems_Hard]]),0)=0,"",
INDEX(TableQCalcMain[Extended_price],TableQCalcMain[[#This Row],[RowNumOfShownItems_Hard]])
))</f>
        <v/>
      </c>
      <c r="AH30" s="61" t="str">
        <f t="array" ref="AH30">IFERROR(MATCH(0,COUNTIF(AB$2:$AB29,TableQCalcMain[Description])+IF(TableQCalcMain[ShowHard]=0,1,0),0),"")</f>
        <v/>
      </c>
    </row>
    <row r="31" spans="1:34" ht="15.5" customHeight="1" x14ac:dyDescent="0.2">
      <c r="A31" s="539"/>
      <c r="B31" s="546" t="s">
        <v>20</v>
      </c>
      <c r="C31" s="547">
        <f>IF(AND(NOT(QUOTE_Split_SoftwareHardware),N(D30)&gt;0),
IF(RHIZO_N_Software-1=0,0,RHIZO_N_Software-1),
RHIZO_N_Software-1)</f>
        <v>0</v>
      </c>
      <c r="D31" s="61">
        <f>TableQCalcMain[[#This Row],[Real_Quantity]]</f>
        <v>0</v>
      </c>
      <c r="E31" s="61">
        <v>1</v>
      </c>
      <c r="F31" s="61"/>
      <c r="G31" s="61">
        <f>N(TableQCalcMain[[#This Row],[ShowDesc?]])*TableQCalcMain[[#This Row],[Software]]</f>
        <v>0</v>
      </c>
      <c r="H31" s="61">
        <f>N(TableQCalcMain[[#This Row],[ShowDesc?]])*TableQCalcMain[[#This Row],[Hardware]]</f>
        <v>0</v>
      </c>
      <c r="I31" s="455" t="str">
        <f>IF(OR(RHIZO_N_System=1,QUOTE_Split_SoftwareHardware),"","   • ") &amp; SUBSTITUTE(LEFT(INDEX(RHIZO_SoftwareFullNames,RHIZO_IndexSoftware),FIND(" ",INDEX(RHIZO_SoftwareFullNames,RHIZO_IndexSoftware),FIND(" ",INDEX(RHIZO_SoftwareFullNames,RHIZO_IndexSoftware))+1)),"™",IF(OR(RHIZO_N_System=1,QUOTE_Split_SoftwareHardware),"™",""))&amp;
RHIZO_YearMostRecent &amp; " " &amp; "&amp;" &amp; " XLRhizo" &amp;
IF(Francais," Logiciels"," Software")&amp; IF(QUOTE_Split_SoftwareHardware,IF(QUOTE_InternetDownload,IF(Francais, ", Téléchargement Internet", ", Internet download"),IF(Francais, ", Envoyé par transporteur", ", Shipped by courier")),IF(Francais," sur media USB (manuels PDF &amp; imprimés)"," on USB drive (PDF &amp; printed manuals)")) &amp;
IF(AND(QUOTE_SameClient=TRUE,RHIZO_N_Software+RHIZO_N_AlreadyHaveSoftware&gt;3),IF(Francais," (incl. rabais multi licenses"," (incl. multi licenses discount")&amp;
" "&amp;TEXT(ROUND((INDEX(RHIZO_SoftwarePriceList,RHIZO_IndexSoftware))*((RHIZO_N_Software-1)-IF(RHIZO_N_Software-1=0,0,SUM(MMULT(
  _xlfn.MUNIT(
    RHIZO_N_Software-1),
    INDEX(TableLists[Column10],RHIZO_N_AlreadyHaveSoftware-1+2):
    INDEX(TableLists[Column10],(RHIZO_N_AlreadyHaveSoftware-1+1)+(RHIZO_N_Software-1))
))))*(1-RebateSoftware*Distributeurs_Rabais),0),"0.00")&amp;")","")</f>
        <v>WinRHIZO™ Reg 2025 &amp; XLRhizo Logiciels sur media USB (manuels PDF &amp; imprimés)</v>
      </c>
      <c r="J31" s="455">
        <f>IF(AND(RHIZO_N_System&gt;1,NOT(QUOTE_Split_SoftwareHardware)),
"",WinRHIZO!I4)</f>
        <v>852349</v>
      </c>
      <c r="K31" s="548">
        <f>ROUND((INDEX(RHIZO_SoftwarePriceList,RHIZO_IndexSoftware))*
IF(RHIZO_N_Software-1=0,0,SUM(MMULT(
  _xlfn.MUNIT(
    RHIZO_N_Software-1),
    INDEX(TableLists[Column10],RHIZO_N_AlreadyHaveSoftware-1+2):
    INDEX(TableLists[Column10],(RHIZO_N_AlreadyHaveSoftware-1+1)+(RHIZO_N_Software-1))
)))*(1-RebateSoftware*Distributeurs_Rabais)
-IF(QUOTE_Split_SoftwareHardware,PrixUSBKey*(RHIZO_N_Software-1),0),0)</f>
        <v>0</v>
      </c>
      <c r="L31" s="61" t="e">
        <f>ROUND(TableQCalcMain[[#This Row],[Extended_price]]/TableQCalcMain[[#This Row],[Real_Quantity]],2)</f>
        <v>#DIV/0!</v>
      </c>
      <c r="M31" s="455">
        <f>ROUND(
IF(RHIZO_N_System&gt;1,
IF(NOT(QUOTE_Split_SoftwareHardware),0,TableQCalcMain[[#This Row],[Detailed_Ext_Price]]),
(INDEX(RHIZO_SoftwarePriceList,RHIZO_IndexSoftware))*
IF(RHIZO_N_Software-1=0,0,SUM(MMULT(
  _xlfn.MUNIT(
    RHIZO_N_Software-1),
    INDEX(TableLists[Column10],RHIZO_N_AlreadyHaveSoftware-1+2):
    INDEX(TableLists[Column10],(RHIZO_N_AlreadyHaveSoftware-1+1)+(RHIZO_N_Software-1))
))
)*(1-RebateSoftware*Distributeurs_Rabais)
-IF(QUOTE_Split_SoftwareHardware,PrixUSBKey*(RHIZO_N_Software-1),0)),0)</f>
        <v>0</v>
      </c>
      <c r="N31" s="72" t="str">
        <f>IF(TableQCalcMain[[#This Row],[RowNumOfShownItems_Unsplit]]&lt;&gt;"",INDEX(TableQCalcMain[Description],TableQCalcMain[[#This Row],[RowNumOfShownItems_Unsplit]]),"")</f>
        <v/>
      </c>
      <c r="O31" s="61" t="str">
        <f>IF(TableQCalcMain[[#This Row],[RowNumOfShownItems_Unsplit]]&lt;&gt;"",INDEX(TableQCalcMain[Harmonized_Code],TableQCalcMain[[#This Row],[RowNumOfShownItems_Unsplit]]),"")</f>
        <v/>
      </c>
      <c r="P31" s="61" t="str">
        <f>IF(TableQCalcMain[[#This Row],[RowNumOfShownItems_Unsplit]]="","",INDEX(TableQCalcMain[Detailed_Ext_Price],TableQCalcMain[[#This Row],[RowNumOfShownItems_Unsplit]]))</f>
        <v/>
      </c>
      <c r="Q31" s="61" t="str">
        <f>IF(TableQCalcMain[[#This Row],[RowNumOfShownItems_Unsplit]]="","",INDEX(TableQCalcMain[Real_Quantity],TableQCalcMain[[#This Row],[RowNumOfShownItems_Unsplit]]))</f>
        <v/>
      </c>
      <c r="R31" s="61" t="str">
        <f>IF(TableQCalcMain[[#This Row],[RowNumOfShownItems_Unsplit]]="","",
IF(IFERROR(
INDEX(TableQCalcMain[Unit_Price],TableQCalcMain[[#This Row],[RowNumOfShownItems_Unsplit]]),0)=0,"",
INDEX(TableQCalcMain[Unit_Price],TableQCalcMain[[#This Row],[RowNumOfShownItems_Unsplit]])
))</f>
        <v/>
      </c>
      <c r="S31" s="61" t="str">
        <f>IF(TableQCalcMain[[#This Row],[RowNumOfShownItems_Unsplit]]="","",
IF(IFERROR(
INDEX(TableQCalcMain[Extended_price],TableQCalcMain[[#This Row],[RowNumOfShownItems_Unsplit]]),0)=0,"",
INDEX(TableQCalcMain[Extended_price],TableQCalcMain[[#This Row],[RowNumOfShownItems_Unsplit]])
))</f>
        <v/>
      </c>
      <c r="T31" t="str">
        <f t="array" ref="T31">IFERROR(MATCH(0,COUNTIF(N$2:$N30,TableQCalcMain[Description])+IF(TableQCalcMain[ShowDesc?]=0,1,0),0),"")</f>
        <v/>
      </c>
      <c r="U31" s="61" t="str">
        <f>IF(TableQCalcMain[[#This Row],[RowNumOfShownItems_SOFT]]&lt;&gt;"",INDEX(TableQCalcMain[Description],TableQCalcMain[[#This Row],[RowNumOfShownItems_SOFT]]),"")</f>
        <v/>
      </c>
      <c r="V31" s="61" t="str">
        <f>IF(TableQCalcMain[[#This Row],[RowNumOfShownItems_SOFT]]&lt;&gt;"",INDEX(TableQCalcMain[Harmonized_Code],TableQCalcMain[[#This Row],[RowNumOfShownItems_SOFT]]),"")</f>
        <v/>
      </c>
      <c r="W31" s="61" t="str">
        <f>IF(TableQCalcMain[[#This Row],[RowNumOfShownItems_SOFT]]="","",INDEX(TableQCalcMain[Detailed_Ext_Price],TableQCalcMain[[#This Row],[RowNumOfShownItems_SOFT]]))</f>
        <v/>
      </c>
      <c r="X31" s="61" t="str">
        <f>IF(TableQCalcMain[[#This Row],[RowNumOfShownItems_SOFT]]="","",INDEX(TableQCalcMain[Real_Quantity],TableQCalcMain[[#This Row],[RowNumOfShownItems_SOFT]]))</f>
        <v/>
      </c>
      <c r="Y31" s="61" t="str">
        <f>IF(TableQCalcMain[[#This Row],[RowNumOfShownItems_SOFT]]="","",INDEX(TableQCalcMain[Unit_Price],TableQCalcMain[[#This Row],[RowNumOfShownItems_SOFT]]))</f>
        <v/>
      </c>
      <c r="Z31" s="61" t="str">
        <f>IF(TableQCalcMain[[#This Row],[RowNumOfShownItems_SOFT]]="","",INDEX(TableQCalcMain[Extended_price],TableQCalcMain[[#This Row],[RowNumOfShownItems_SOFT]]))</f>
        <v/>
      </c>
      <c r="AA31" t="str">
        <f t="array" ref="AA31">IFERROR(MATCH(0,COUNTIF(U$2:$U30,TableQCalcMain[Description])+IF(TableQCalcMain[ShowSoft]=0,1,0),0),"")</f>
        <v/>
      </c>
      <c r="AB31" s="61" t="str">
        <f>IF(TableQCalcMain[[#This Row],[RowNumOfShownItems_Hard]]&lt;&gt;"",INDEX(TableQCalcMain[Description],TableQCalcMain[[#This Row],[RowNumOfShownItems_Hard]]),"")</f>
        <v/>
      </c>
      <c r="AC31" s="61" t="str">
        <f>IF(TableQCalcMain[[#This Row],[RowNumOfShownItems_Hard]]&lt;&gt;"",INDEX(TableQCalcMain[Harmonized_Code],TableQCalcMain[[#This Row],[RowNumOfShownItems_Hard]]),"")</f>
        <v/>
      </c>
      <c r="AD31" s="61" t="str">
        <f>IF(TableQCalcMain[[#This Row],[RowNumOfShownItems_Hard]]="","",INDEX(TableQCalcMain[Detailed_Ext_Price],TableQCalcMain[[#This Row],[RowNumOfShownItems_Hard]]))</f>
        <v/>
      </c>
      <c r="AE31" s="61" t="str">
        <f>IF(TableQCalcMain[[#This Row],[RowNumOfShownItems_Hard]]="","",INDEX(TableQCalcMain[Real_Quantity],TableQCalcMain[[#This Row],[RowNumOfShownItems_Hard]]))</f>
        <v/>
      </c>
      <c r="AF31" s="61" t="str">
        <f>IF(TableQCalcMain[[#This Row],[RowNumOfShownItems_Hard]]="","",
IF(IFERROR(
INDEX(TableQCalcMain[Unit_Price],TableQCalcMain[[#This Row],[RowNumOfShownItems_Hard]]),0)=0,"",
INDEX(TableQCalcMain[Unit_Price],TableQCalcMain[[#This Row],[RowNumOfShownItems_Hard]])
))</f>
        <v/>
      </c>
      <c r="AG31" s="61" t="str">
        <f>IF(TableQCalcMain[[#This Row],[RowNumOfShownItems_Hard]]="","",
IF(IFERROR(
INDEX(TableQCalcMain[Extended_price],TableQCalcMain[[#This Row],[RowNumOfShownItems_Hard]]),0)=0,"",
INDEX(TableQCalcMain[Extended_price],TableQCalcMain[[#This Row],[RowNumOfShownItems_Hard]])
))</f>
        <v/>
      </c>
      <c r="AH31" s="61" t="str">
        <f t="array" ref="AH31">IFERROR(MATCH(0,COUNTIF(AB$2:$AB30,TableQCalcMain[Description])+IF(TableQCalcMain[ShowHard]=0,1,0),0),"")</f>
        <v/>
      </c>
    </row>
    <row r="32" spans="1:34" ht="15.5" customHeight="1" x14ac:dyDescent="0.2">
      <c r="A32" s="539"/>
      <c r="B32" s="565" t="s">
        <v>744</v>
      </c>
      <c r="C32" s="567" t="str">
        <f>IF(AND(C30&gt;0,C31=0),RHIZO_N_UpgradeUpdate-1,"")</f>
        <v/>
      </c>
      <c r="D32" s="567">
        <f>IF(AND(
C30&lt;&gt;0,C31=0,
NOT(QUOTE_Split_SoftwareHardware),
IFERROR(QCalc!$F$195,0)&gt;0
),C41,0)+N("Si il y a un système sans software (update only) et que facture est pas split, afficher UpgradeUpdate en tant que Software dans système")</f>
        <v>0</v>
      </c>
      <c r="E32" s="61"/>
      <c r="F32" s="61"/>
      <c r="G32" s="61"/>
      <c r="H32" s="61"/>
      <c r="I32" s="565" t="str">
        <f>"   • " &amp; I41</f>
        <v xml:space="preserve">   • Mise à jour de WinRHIZO™ Reg 2012 à WinRHIZO™ Reg 2025 &amp; XLRhizo sur media USB (manuels PDF &amp; imprimés)</v>
      </c>
      <c r="J32" s="565">
        <f>J41</f>
        <v>852349</v>
      </c>
      <c r="K32" s="565">
        <f>IF(TableQCalcMain[[#This Row],[ShowDesc?]]=0,0,M41)</f>
        <v>0</v>
      </c>
      <c r="L32" s="61"/>
      <c r="M32" s="61"/>
      <c r="N32" s="72" t="str">
        <f>IF(TableQCalcMain[[#This Row],[RowNumOfShownItems_Unsplit]]&lt;&gt;"",INDEX(TableQCalcMain[Description],TableQCalcMain[[#This Row],[RowNumOfShownItems_Unsplit]]),"")</f>
        <v/>
      </c>
      <c r="O32" s="61" t="str">
        <f>IF(TableQCalcMain[[#This Row],[RowNumOfShownItems_Unsplit]]&lt;&gt;"",INDEX(TableQCalcMain[Harmonized_Code],TableQCalcMain[[#This Row],[RowNumOfShownItems_Unsplit]]),"")</f>
        <v/>
      </c>
      <c r="P32" s="61" t="str">
        <f>IF(TableQCalcMain[[#This Row],[RowNumOfShownItems_Unsplit]]="","",INDEX(TableQCalcMain[Detailed_Ext_Price],TableQCalcMain[[#This Row],[RowNumOfShownItems_Unsplit]]))</f>
        <v/>
      </c>
      <c r="Q32" s="61" t="str">
        <f>IF(TableQCalcMain[[#This Row],[RowNumOfShownItems_Unsplit]]="","",INDEX(TableQCalcMain[Real_Quantity],TableQCalcMain[[#This Row],[RowNumOfShownItems_Unsplit]]))</f>
        <v/>
      </c>
      <c r="R32" s="61" t="str">
        <f>IF(TableQCalcMain[[#This Row],[RowNumOfShownItems_Unsplit]]="","",
IF(IFERROR(
INDEX(TableQCalcMain[Unit_Price],TableQCalcMain[[#This Row],[RowNumOfShownItems_Unsplit]]),0)=0,"",
INDEX(TableQCalcMain[Unit_Price],TableQCalcMain[[#This Row],[RowNumOfShownItems_Unsplit]])
))</f>
        <v/>
      </c>
      <c r="S32" s="61" t="str">
        <f>IF(TableQCalcMain[[#This Row],[RowNumOfShownItems_Unsplit]]="","",
IF(IFERROR(
INDEX(TableQCalcMain[Extended_price],TableQCalcMain[[#This Row],[RowNumOfShownItems_Unsplit]]),0)=0,"",
INDEX(TableQCalcMain[Extended_price],TableQCalcMain[[#This Row],[RowNumOfShownItems_Unsplit]])
))</f>
        <v/>
      </c>
      <c r="T32" t="str">
        <f t="array" ref="T32">IFERROR(MATCH(0,COUNTIF(N$2:$N31,TableQCalcMain[Description])+IF(TableQCalcMain[ShowDesc?]=0,1,0),0),"")</f>
        <v/>
      </c>
      <c r="U32" s="61" t="str">
        <f>IF(TableQCalcMain[[#This Row],[RowNumOfShownItems_SOFT]]&lt;&gt;"",INDEX(TableQCalcMain[Description],TableQCalcMain[[#This Row],[RowNumOfShownItems_SOFT]]),"")</f>
        <v/>
      </c>
      <c r="V32" s="61" t="str">
        <f>IF(TableQCalcMain[[#This Row],[RowNumOfShownItems_SOFT]]&lt;&gt;"",INDEX(TableQCalcMain[Harmonized_Code],TableQCalcMain[[#This Row],[RowNumOfShownItems_SOFT]]),"")</f>
        <v/>
      </c>
      <c r="W32" s="61" t="str">
        <f>IF(TableQCalcMain[[#This Row],[RowNumOfShownItems_SOFT]]="","",INDEX(TableQCalcMain[Detailed_Ext_Price],TableQCalcMain[[#This Row],[RowNumOfShownItems_SOFT]]))</f>
        <v/>
      </c>
      <c r="X32" s="61" t="str">
        <f>IF(TableQCalcMain[[#This Row],[RowNumOfShownItems_SOFT]]="","",INDEX(TableQCalcMain[Real_Quantity],TableQCalcMain[[#This Row],[RowNumOfShownItems_SOFT]]))</f>
        <v/>
      </c>
      <c r="Y32" s="61" t="str">
        <f>IF(TableQCalcMain[[#This Row],[RowNumOfShownItems_SOFT]]="","",INDEX(TableQCalcMain[Unit_Price],TableQCalcMain[[#This Row],[RowNumOfShownItems_SOFT]]))</f>
        <v/>
      </c>
      <c r="Z32" s="61" t="str">
        <f>IF(TableQCalcMain[[#This Row],[RowNumOfShownItems_SOFT]]="","",INDEX(TableQCalcMain[Extended_price],TableQCalcMain[[#This Row],[RowNumOfShownItems_SOFT]]))</f>
        <v/>
      </c>
      <c r="AA32" t="str">
        <f t="array" ref="AA32">IFERROR(MATCH(0,COUNTIF(U$2:$U31,TableQCalcMain[Description])+IF(TableQCalcMain[ShowSoft]=0,1,0),0),"")</f>
        <v/>
      </c>
      <c r="AB32" s="61" t="str">
        <f>IF(TableQCalcMain[[#This Row],[RowNumOfShownItems_Hard]]&lt;&gt;"",INDEX(TableQCalcMain[Description],TableQCalcMain[[#This Row],[RowNumOfShownItems_Hard]]),"")</f>
        <v/>
      </c>
      <c r="AC32" s="61" t="str">
        <f>IF(TableQCalcMain[[#This Row],[RowNumOfShownItems_Hard]]&lt;&gt;"",INDEX(TableQCalcMain[Harmonized_Code],TableQCalcMain[[#This Row],[RowNumOfShownItems_Hard]]),"")</f>
        <v/>
      </c>
      <c r="AD32" s="61" t="str">
        <f>IF(TableQCalcMain[[#This Row],[RowNumOfShownItems_Hard]]="","",INDEX(TableQCalcMain[Detailed_Ext_Price],TableQCalcMain[[#This Row],[RowNumOfShownItems_Hard]]))</f>
        <v/>
      </c>
      <c r="AE32" s="61" t="str">
        <f>IF(TableQCalcMain[[#This Row],[RowNumOfShownItems_Hard]]="","",INDEX(TableQCalcMain[Real_Quantity],TableQCalcMain[[#This Row],[RowNumOfShownItems_Hard]]))</f>
        <v/>
      </c>
      <c r="AF32" s="61" t="str">
        <f>IF(TableQCalcMain[[#This Row],[RowNumOfShownItems_Hard]]="","",
IF(IFERROR(
INDEX(TableQCalcMain[Unit_Price],TableQCalcMain[[#This Row],[RowNumOfShownItems_Hard]]),0)=0,"",
INDEX(TableQCalcMain[Unit_Price],TableQCalcMain[[#This Row],[RowNumOfShownItems_Hard]])
))</f>
        <v/>
      </c>
      <c r="AG32" s="61" t="str">
        <f>IF(TableQCalcMain[[#This Row],[RowNumOfShownItems_Hard]]="","",
IF(IFERROR(
INDEX(TableQCalcMain[Extended_price],TableQCalcMain[[#This Row],[RowNumOfShownItems_Hard]]),0)=0,"",
INDEX(TableQCalcMain[Extended_price],TableQCalcMain[[#This Row],[RowNumOfShownItems_Hard]])
))</f>
        <v/>
      </c>
      <c r="AH32" s="61" t="str">
        <f t="array" ref="AH32">IFERROR(MATCH(0,COUNTIF(AB$2:$AB31,TableQCalcMain[Description])+IF(TableQCalcMain[ShowHard]=0,1,0),0),"")</f>
        <v/>
      </c>
    </row>
    <row r="33" spans="1:34" ht="15.5" customHeight="1" x14ac:dyDescent="0.2">
      <c r="A33" s="539"/>
      <c r="B33" s="470" t="s">
        <v>332</v>
      </c>
      <c r="C33" s="61" t="str">
        <f>""</f>
        <v/>
      </c>
      <c r="D33" s="61">
        <f>IF(QUOTE_Split_SoftwareHardware,N($C$31),0)</f>
        <v>0</v>
      </c>
      <c r="E33" s="61">
        <v>1</v>
      </c>
      <c r="F33" s="61"/>
      <c r="G33" s="61">
        <f>TableQCalcMain[[#This Row],[ShowDesc?]]*TableQCalcMain[[#This Row],[Software]]</f>
        <v>0</v>
      </c>
      <c r="H33" s="61"/>
      <c r="I33" s="61" t="str">
        <f>"         • " &amp; IF(AND(QUOTE_Split_SoftwareHardware,QUOTE_InternetDownload),
IF(Francais,"Logiciels et documents d'instructions (fichiers PDF)","Software &amp; Instructions documents (PDF files)"),
IF(Francais,"Logiciel et documents d'instructions (" &amp; IF(QUOTE_InternetDownload,"sur clé USB","PDF") &amp; " et imprimés)","Software &amp; Instructions documents (" &amp; IF(QUOTE_InternetDownload,"on USB Key","PDF") &amp; " &amp; printed)"))
&amp;REPT(" ",4)</f>
        <v xml:space="preserve">         • Logiciel et documents d'instructions (PDF et imprimés)    </v>
      </c>
      <c r="J33" s="61" t="str">
        <f>""</f>
        <v/>
      </c>
      <c r="K33" s="548" t="str">
        <f>""</f>
        <v/>
      </c>
      <c r="L33" s="61" t="str">
        <f>""</f>
        <v/>
      </c>
      <c r="M33" s="61" t="str">
        <f>""</f>
        <v/>
      </c>
      <c r="N33" s="72" t="str">
        <f>IF(TableQCalcMain[[#This Row],[RowNumOfShownItems_Unsplit]]&lt;&gt;"",INDEX(TableQCalcMain[Description],TableQCalcMain[[#This Row],[RowNumOfShownItems_Unsplit]]),"")</f>
        <v/>
      </c>
      <c r="O33" s="61" t="str">
        <f>IF(TableQCalcMain[[#This Row],[RowNumOfShownItems_Unsplit]]&lt;&gt;"",INDEX(TableQCalcMain[Harmonized_Code],TableQCalcMain[[#This Row],[RowNumOfShownItems_Unsplit]]),"")</f>
        <v/>
      </c>
      <c r="P33" s="61" t="str">
        <f>IF(TableQCalcMain[[#This Row],[RowNumOfShownItems_Unsplit]]="","",INDEX(TableQCalcMain[Detailed_Ext_Price],TableQCalcMain[[#This Row],[RowNumOfShownItems_Unsplit]]))</f>
        <v/>
      </c>
      <c r="Q33" s="61" t="str">
        <f>IF(TableQCalcMain[[#This Row],[RowNumOfShownItems_Unsplit]]="","",INDEX(TableQCalcMain[Real_Quantity],TableQCalcMain[[#This Row],[RowNumOfShownItems_Unsplit]]))</f>
        <v/>
      </c>
      <c r="R33" s="61" t="str">
        <f>IF(TableQCalcMain[[#This Row],[RowNumOfShownItems_Unsplit]]="","",
IF(IFERROR(
INDEX(TableQCalcMain[Unit_Price],TableQCalcMain[[#This Row],[RowNumOfShownItems_Unsplit]]),0)=0,"",
INDEX(TableQCalcMain[Unit_Price],TableQCalcMain[[#This Row],[RowNumOfShownItems_Unsplit]])
))</f>
        <v/>
      </c>
      <c r="S33" s="61" t="str">
        <f>IF(TableQCalcMain[[#This Row],[RowNumOfShownItems_Unsplit]]="","",
IF(IFERROR(
INDEX(TableQCalcMain[Extended_price],TableQCalcMain[[#This Row],[RowNumOfShownItems_Unsplit]]),0)=0,"",
INDEX(TableQCalcMain[Extended_price],TableQCalcMain[[#This Row],[RowNumOfShownItems_Unsplit]])
))</f>
        <v/>
      </c>
      <c r="T33" t="str">
        <f t="array" ref="T33">IFERROR(MATCH(0,COUNTIF(N$2:$N32,TableQCalcMain[Description])+IF(TableQCalcMain[ShowDesc?]=0,1,0),0),"")</f>
        <v/>
      </c>
      <c r="U33" s="61" t="str">
        <f>IF(TableQCalcMain[[#This Row],[RowNumOfShownItems_SOFT]]&lt;&gt;"",INDEX(TableQCalcMain[Description],TableQCalcMain[[#This Row],[RowNumOfShownItems_SOFT]]),"")</f>
        <v/>
      </c>
      <c r="V33" s="61" t="str">
        <f>IF(TableQCalcMain[[#This Row],[RowNumOfShownItems_SOFT]]&lt;&gt;"",INDEX(TableQCalcMain[Harmonized_Code],TableQCalcMain[[#This Row],[RowNumOfShownItems_SOFT]]),"")</f>
        <v/>
      </c>
      <c r="W33" s="61" t="str">
        <f>IF(TableQCalcMain[[#This Row],[RowNumOfShownItems_SOFT]]="","",INDEX(TableQCalcMain[Detailed_Ext_Price],TableQCalcMain[[#This Row],[RowNumOfShownItems_SOFT]]))</f>
        <v/>
      </c>
      <c r="X33" s="61" t="str">
        <f>IF(TableQCalcMain[[#This Row],[RowNumOfShownItems_SOFT]]="","",INDEX(TableQCalcMain[Real_Quantity],TableQCalcMain[[#This Row],[RowNumOfShownItems_SOFT]]))</f>
        <v/>
      </c>
      <c r="Y33" s="61" t="str">
        <f>IF(TableQCalcMain[[#This Row],[RowNumOfShownItems_SOFT]]="","",INDEX(TableQCalcMain[Unit_Price],TableQCalcMain[[#This Row],[RowNumOfShownItems_SOFT]]))</f>
        <v/>
      </c>
      <c r="Z33" s="61" t="str">
        <f>IF(TableQCalcMain[[#This Row],[RowNumOfShownItems_SOFT]]="","",INDEX(TableQCalcMain[Extended_price],TableQCalcMain[[#This Row],[RowNumOfShownItems_SOFT]]))</f>
        <v/>
      </c>
      <c r="AA33" t="str">
        <f t="array" ref="AA33">IFERROR(MATCH(0,COUNTIF(U$2:$U32,TableQCalcMain[Description])+IF(TableQCalcMain[ShowSoft]=0,1,0),0),"")</f>
        <v/>
      </c>
      <c r="AB33" s="61" t="str">
        <f>IF(TableQCalcMain[[#This Row],[RowNumOfShownItems_Hard]]&lt;&gt;"",INDEX(TableQCalcMain[Description],TableQCalcMain[[#This Row],[RowNumOfShownItems_Hard]]),"")</f>
        <v/>
      </c>
      <c r="AC33" s="61" t="str">
        <f>IF(TableQCalcMain[[#This Row],[RowNumOfShownItems_Hard]]&lt;&gt;"",INDEX(TableQCalcMain[Harmonized_Code],TableQCalcMain[[#This Row],[RowNumOfShownItems_Hard]]),"")</f>
        <v/>
      </c>
      <c r="AD33" s="61" t="str">
        <f>IF(TableQCalcMain[[#This Row],[RowNumOfShownItems_Hard]]="","",INDEX(TableQCalcMain[Detailed_Ext_Price],TableQCalcMain[[#This Row],[RowNumOfShownItems_Hard]]))</f>
        <v/>
      </c>
      <c r="AE33" s="61" t="str">
        <f>IF(TableQCalcMain[[#This Row],[RowNumOfShownItems_Hard]]="","",INDEX(TableQCalcMain[Real_Quantity],TableQCalcMain[[#This Row],[RowNumOfShownItems_Hard]]))</f>
        <v/>
      </c>
      <c r="AF33" s="61" t="str">
        <f>IF(TableQCalcMain[[#This Row],[RowNumOfShownItems_Hard]]="","",
IF(IFERROR(
INDEX(TableQCalcMain[Unit_Price],TableQCalcMain[[#This Row],[RowNumOfShownItems_Hard]]),0)=0,"",
INDEX(TableQCalcMain[Unit_Price],TableQCalcMain[[#This Row],[RowNumOfShownItems_Hard]])
))</f>
        <v/>
      </c>
      <c r="AG33" s="61" t="str">
        <f>IF(TableQCalcMain[[#This Row],[RowNumOfShownItems_Hard]]="","",
IF(IFERROR(
INDEX(TableQCalcMain[Extended_price],TableQCalcMain[[#This Row],[RowNumOfShownItems_Hard]]),0)=0,"",
INDEX(TableQCalcMain[Extended_price],TableQCalcMain[[#This Row],[RowNumOfShownItems_Hard]])
))</f>
        <v/>
      </c>
      <c r="AH33" s="61" t="str">
        <f t="array" ref="AH33">IFERROR(MATCH(0,COUNTIF(AB$2:$AB32,TableQCalcMain[Description])+IF(TableQCalcMain[ShowHard]=0,1,0),0),"")</f>
        <v/>
      </c>
    </row>
    <row r="34" spans="1:34" ht="15.5" customHeight="1" x14ac:dyDescent="0.2">
      <c r="A34" s="539"/>
      <c r="B34" s="61" t="s">
        <v>21</v>
      </c>
      <c r="C34" s="61">
        <f>RHIZO_OptionXL*(RHIZO_N_Software-1)</f>
        <v>0</v>
      </c>
      <c r="D34" s="61">
        <f>0*RHIZO_OptionXL*(RHIZO_N_Software-1)</f>
        <v>0</v>
      </c>
      <c r="E34" s="61">
        <v>1</v>
      </c>
      <c r="F34" s="61"/>
      <c r="G34" s="61">
        <f>TableQCalcMain[[#This Row],[ShowDesc?]]*TableQCalcMain[[#This Row],[Software]]</f>
        <v>0</v>
      </c>
      <c r="H34" s="61">
        <f>TableQCalcMain[[#This Row],[ShowDesc?]]*TableQCalcMain[[#This Row],[Hardware]]</f>
        <v>0</v>
      </c>
      <c r="I34" s="61" t="str">
        <f>IF(RHIZO_N_System=1,"","   • ")&amp;IF(Francais,"XLRhizo Logiciel pour l'Analyse des données de WinRHIZO","XLRhizo Software for WinRHIZO's data Analysis")</f>
        <v>XLRhizo Logiciel pour l'Analyse des données de WinRHIZO</v>
      </c>
      <c r="J34" s="61" t="str">
        <f>""</f>
        <v/>
      </c>
      <c r="K34" s="548" t="s">
        <v>162</v>
      </c>
      <c r="L34" s="61" t="str">
        <f>""</f>
        <v/>
      </c>
      <c r="M34" s="61" t="str">
        <f>""</f>
        <v/>
      </c>
      <c r="N34" s="72" t="str">
        <f>IF(TableQCalcMain[[#This Row],[RowNumOfShownItems_Unsplit]]&lt;&gt;"",INDEX(TableQCalcMain[Description],TableQCalcMain[[#This Row],[RowNumOfShownItems_Unsplit]]),"")</f>
        <v/>
      </c>
      <c r="O34" s="61" t="str">
        <f>IF(TableQCalcMain[[#This Row],[RowNumOfShownItems_Unsplit]]&lt;&gt;"",INDEX(TableQCalcMain[Harmonized_Code],TableQCalcMain[[#This Row],[RowNumOfShownItems_Unsplit]]),"")</f>
        <v/>
      </c>
      <c r="P34" s="61" t="str">
        <f>IF(TableQCalcMain[[#This Row],[RowNumOfShownItems_Unsplit]]="","",INDEX(TableQCalcMain[Detailed_Ext_Price],TableQCalcMain[[#This Row],[RowNumOfShownItems_Unsplit]]))</f>
        <v/>
      </c>
      <c r="Q34" s="61" t="str">
        <f>IF(TableQCalcMain[[#This Row],[RowNumOfShownItems_Unsplit]]="","",INDEX(TableQCalcMain[Real_Quantity],TableQCalcMain[[#This Row],[RowNumOfShownItems_Unsplit]]))</f>
        <v/>
      </c>
      <c r="R34" s="61" t="str">
        <f>IF(TableQCalcMain[[#This Row],[RowNumOfShownItems_Unsplit]]="","",
IF(IFERROR(
INDEX(TableQCalcMain[Unit_Price],TableQCalcMain[[#This Row],[RowNumOfShownItems_Unsplit]]),0)=0,"",
INDEX(TableQCalcMain[Unit_Price],TableQCalcMain[[#This Row],[RowNumOfShownItems_Unsplit]])
))</f>
        <v/>
      </c>
      <c r="S34" s="61" t="str">
        <f>IF(TableQCalcMain[[#This Row],[RowNumOfShownItems_Unsplit]]="","",
IF(IFERROR(
INDEX(TableQCalcMain[Extended_price],TableQCalcMain[[#This Row],[RowNumOfShownItems_Unsplit]]),0)=0,"",
INDEX(TableQCalcMain[Extended_price],TableQCalcMain[[#This Row],[RowNumOfShownItems_Unsplit]])
))</f>
        <v/>
      </c>
      <c r="T34" t="str">
        <f t="array" ref="T34">IFERROR(MATCH(0,COUNTIF(N$2:$N33,TableQCalcMain[Description])+IF(TableQCalcMain[ShowDesc?]=0,1,0),0),"")</f>
        <v/>
      </c>
      <c r="U34" s="472"/>
      <c r="V34" s="472"/>
      <c r="W34" s="472"/>
      <c r="X34" s="472"/>
      <c r="Y34" s="472"/>
      <c r="Z34" s="472"/>
      <c r="AA34" s="472"/>
      <c r="AB34" s="472"/>
      <c r="AC34" s="472"/>
      <c r="AD34" s="472"/>
      <c r="AE34" s="472"/>
      <c r="AF34" s="472"/>
      <c r="AG34" s="472"/>
      <c r="AH34" s="472"/>
    </row>
    <row r="35" spans="1:34" ht="15.5" customHeight="1" x14ac:dyDescent="0.2">
      <c r="A35" s="539"/>
      <c r="B35" s="61" t="s">
        <v>327</v>
      </c>
      <c r="C35" s="61">
        <f>N($C$31)+N($C$41)</f>
        <v>0</v>
      </c>
      <c r="D35" s="764">
        <f>IF(AND(QUOTE_Split_SoftwareHardware,TableQCalcMain[[#This Row],[Real_Quantity]]&gt;0,NOT(AND(RHIZO_ChkBox_UpgradeUpdate,RHIZO_ChkB_RemoteUpdate))),1,0)</f>
        <v>0</v>
      </c>
      <c r="E35" s="61">
        <f>IF(QUOTE_InternetDownload,0,1)</f>
        <v>1</v>
      </c>
      <c r="F35" s="61">
        <f>IF(QUOTE_InternetDownload,1,0)</f>
        <v>0</v>
      </c>
      <c r="G35" s="61">
        <f>TableQCalcMain[[#This Row],[ShowDesc?]]*TableQCalcMain[[#This Row],[Software]]</f>
        <v>0</v>
      </c>
      <c r="H35" s="61">
        <f>TableQCalcMain[[#This Row],[ShowDesc?]]*TableQCalcMain[[#This Row],[Hardware]]</f>
        <v>0</v>
      </c>
      <c r="I35" s="61" t="str">
        <f xml:space="preserve">   SUBSTITUTE(
   IF(Francais,
"Clé USB pour WinSOFTWARE" &amp; IF(TableQCalcMain[[#This Row],[Hardware]]=1," et documents d'Instructions (expédiés par transporteur)",""),
"USB drive for WinSOFTWARE" &amp; IF(TableQCalcMain[[#This Row],[Hardware]]=1," and Instructions documents (shipped by courier)","")),
   "WinSOFTWARE","Win" &amp;  LEFT(TableQCalcMain[[#This Row],[Variable / Product ID]],FIND("_",TableQCalcMain[[#This Row],[Variable / Product ID]])-1) &amp; " " &amp; INDEX(RHIZO_UpgradeNameShort,RHIZO_IndexSoftware))</f>
        <v>Clé USB pour WinRHIZO Reg</v>
      </c>
      <c r="J35" s="61">
        <v>852351</v>
      </c>
      <c r="K35" s="548">
        <f>TableQCalcMain[[#This Row],[Extended_price]]</f>
        <v>0</v>
      </c>
      <c r="L35" s="61" t="str">
        <f>IF(OR(TableQCalcMain[[#This Row],[Real_Quantity]]=0,TableQCalcMain[[#This Row],[Extended_price]]=0),"",ROUND(TableQCalcMain[[#This Row],[Extended_price]]/TableQCalcMain[[#This Row],[Real_Quantity]],2))</f>
        <v/>
      </c>
      <c r="M35" s="61">
        <f>PrixUSBKey*TableQCalcMain[[#This Row],[Real_Quantity]]</f>
        <v>0</v>
      </c>
      <c r="N35" s="72" t="str">
        <f>IF(TableQCalcMain[[#This Row],[RowNumOfShownItems_Unsplit]]&lt;&gt;"",INDEX(TableQCalcMain[Description],TableQCalcMain[[#This Row],[RowNumOfShownItems_Unsplit]]),"")</f>
        <v/>
      </c>
      <c r="O35" s="61" t="str">
        <f>IF(TableQCalcMain[[#This Row],[RowNumOfShownItems_Unsplit]]&lt;&gt;"",INDEX(TableQCalcMain[Harmonized_Code],TableQCalcMain[[#This Row],[RowNumOfShownItems_Unsplit]]),"")</f>
        <v/>
      </c>
      <c r="P35" s="61" t="str">
        <f>IF(TableQCalcMain[[#This Row],[RowNumOfShownItems_Unsplit]]="","",INDEX(TableQCalcMain[Detailed_Ext_Price],TableQCalcMain[[#This Row],[RowNumOfShownItems_Unsplit]]))</f>
        <v/>
      </c>
      <c r="Q35" s="61" t="str">
        <f>IF(TableQCalcMain[[#This Row],[RowNumOfShownItems_Unsplit]]="","",INDEX(TableQCalcMain[Real_Quantity],TableQCalcMain[[#This Row],[RowNumOfShownItems_Unsplit]]))</f>
        <v/>
      </c>
      <c r="R35" s="61" t="str">
        <f>IF(TableQCalcMain[[#This Row],[RowNumOfShownItems_Unsplit]]="","",
IF(IFERROR(
INDEX(TableQCalcMain[Unit_Price],TableQCalcMain[[#This Row],[RowNumOfShownItems_Unsplit]]),0)=0,"",
INDEX(TableQCalcMain[Unit_Price],TableQCalcMain[[#This Row],[RowNumOfShownItems_Unsplit]])
))</f>
        <v/>
      </c>
      <c r="S35" s="61" t="str">
        <f>IF(TableQCalcMain[[#This Row],[RowNumOfShownItems_Unsplit]]="","",
IF(IFERROR(
INDEX(TableQCalcMain[Extended_price],TableQCalcMain[[#This Row],[RowNumOfShownItems_Unsplit]]),0)=0,"",
INDEX(TableQCalcMain[Extended_price],TableQCalcMain[[#This Row],[RowNumOfShownItems_Unsplit]])
))</f>
        <v/>
      </c>
      <c r="T35" t="str">
        <f t="array" ref="T35">IFERROR(MATCH(0,COUNTIF(N$2:$N34,TableQCalcMain[Description])+IF(TableQCalcMain[ShowDesc?]=0,1,0),0),"")</f>
        <v/>
      </c>
      <c r="U35" s="472"/>
      <c r="V35" s="472"/>
      <c r="W35" s="472"/>
      <c r="X35" s="472"/>
      <c r="Y35" s="472"/>
      <c r="Z35" s="472"/>
      <c r="AA35" s="472"/>
      <c r="AB35" s="472"/>
      <c r="AC35" s="472"/>
      <c r="AD35" s="472"/>
      <c r="AE35" s="472"/>
      <c r="AF35" s="472"/>
      <c r="AG35" s="472"/>
      <c r="AH35" s="472"/>
    </row>
    <row r="36" spans="1:34" ht="15.5" customHeight="1" x14ac:dyDescent="0.2">
      <c r="A36" s="539"/>
      <c r="B36" s="61" t="s">
        <v>92</v>
      </c>
      <c r="C36" s="61" t="str">
        <f>IF(NOT(QUOTE_Split_SoftwareHardware),"",C30)</f>
        <v/>
      </c>
      <c r="D36" s="61">
        <f>IF(RHIZO_ClientWithOrWithoutScanner=1,$D$30,0)</f>
        <v>0</v>
      </c>
      <c r="E36" s="61"/>
      <c r="F36" s="61">
        <v>1</v>
      </c>
      <c r="G36" s="61">
        <f>TableQCalcMain[[#This Row],[ShowDesc?]]*TableQCalcMain[[#This Row],[Software]]</f>
        <v>0</v>
      </c>
      <c r="H36" s="61">
        <f>TableQCalcMain[[#This Row],[ShowDesc?]]*TableQCalcMain[[#This Row],[Hardware]]</f>
        <v>0</v>
      </c>
      <c r="I36" s="455" t="str">
        <f>IF(OR(RHIZO_N_System=1,QUOTE_Split_SoftwareHardware),"","   • ") &amp; IF(RHIZO_IndexScanner=1,
IF(Francais," Scanner STD4800: 4800 ppp, Surface de Scan 22x30cm (20x25cm avec LS)"," STD4800 Scanner: 4800 dpi, Scan Area 22x30cm (20x25cm with SL)"),
IF(Francais," Scanner LA2400: 2400 ppp, Surface de Scan 31x44cm (31x42cm avec LS)"," LA2400 Scanner: 2400 dpi, Scan Area 31x44cm (31x42cm with SL)")) &amp;REPT(" ",10)
&amp; "S/N:" &amp; RHIZO_Serial &amp;REPT(" ",1)</f>
        <v xml:space="preserve"> Scanner STD4800: 4800 ppp, Surface de Scan 22x30cm (20x25cm avec LS)          S/N: </v>
      </c>
      <c r="J36" s="61" t="str">
        <f>IF(QUOTE_Split_SoftwareHardware,ScannerHCode,"")</f>
        <v/>
      </c>
      <c r="K36" s="548">
        <f>IF(RHIZO_ClientWithOrWithoutScanner=1,
   IF(Distributeurs_Rabais,
      IF(RHIZO_IndexScanner=1,PrixSTD_Dist,IF(RHIZO_IndexScanner=2,PrixLA_Dist,PrixLC_Dist)),
      IF(RHIZO_IndexScanner=1,PrixSTD,          IF(RHIZO_IndexScanner=2,PrixLA,          PrixLC))
    ),
0)
*(RHIZO_N_System-1) -K39</f>
        <v>0</v>
      </c>
      <c r="L36" s="61">
        <f>IF(C30=0,0,ROUND(TableQCalcMain[[#This Row],[Extended_price]]/C30,2))</f>
        <v>0</v>
      </c>
      <c r="M36" s="61">
        <f>IF(NOT(QUOTE_Split_SoftwareHardware),0,TableQCalcMain[[#This Row],[Detailed_Ext_Price]]+K38+N(K37))</f>
        <v>0</v>
      </c>
      <c r="N36" s="72" t="str">
        <f>IF(TableQCalcMain[[#This Row],[RowNumOfShownItems_Unsplit]]&lt;&gt;"",INDEX(TableQCalcMain[Description],TableQCalcMain[[#This Row],[RowNumOfShownItems_Unsplit]]),"")</f>
        <v/>
      </c>
      <c r="O36" s="61" t="str">
        <f>IF(TableQCalcMain[[#This Row],[RowNumOfShownItems_Unsplit]]&lt;&gt;"",INDEX(TableQCalcMain[Harmonized_Code],TableQCalcMain[[#This Row],[RowNumOfShownItems_Unsplit]]),"")</f>
        <v/>
      </c>
      <c r="P36" s="61" t="str">
        <f>IF(TableQCalcMain[[#This Row],[RowNumOfShownItems_Unsplit]]="","",INDEX(TableQCalcMain[Detailed_Ext_Price],TableQCalcMain[[#This Row],[RowNumOfShownItems_Unsplit]]))</f>
        <v/>
      </c>
      <c r="Q36" s="61" t="str">
        <f>IF(TableQCalcMain[[#This Row],[RowNumOfShownItems_Unsplit]]="","",INDEX(TableQCalcMain[Real_Quantity],TableQCalcMain[[#This Row],[RowNumOfShownItems_Unsplit]]))</f>
        <v/>
      </c>
      <c r="R36" s="61" t="str">
        <f>IF(TableQCalcMain[[#This Row],[RowNumOfShownItems_Unsplit]]="","",
IF(IFERROR(
INDEX(TableQCalcMain[Unit_Price],TableQCalcMain[[#This Row],[RowNumOfShownItems_Unsplit]]),0)=0,"",
INDEX(TableQCalcMain[Unit_Price],TableQCalcMain[[#This Row],[RowNumOfShownItems_Unsplit]])
))</f>
        <v/>
      </c>
      <c r="S36" s="61" t="str">
        <f>IF(TableQCalcMain[[#This Row],[RowNumOfShownItems_Unsplit]]="","",
IF(IFERROR(
INDEX(TableQCalcMain[Extended_price],TableQCalcMain[[#This Row],[RowNumOfShownItems_Unsplit]]),0)=0,"",
INDEX(TableQCalcMain[Extended_price],TableQCalcMain[[#This Row],[RowNumOfShownItems_Unsplit]])
))</f>
        <v/>
      </c>
      <c r="T36" t="str">
        <f t="array" ref="T36">IFERROR(MATCH(0,COUNTIF(N$2:$N35,TableQCalcMain[Description])+IF(TableQCalcMain[ShowDesc?]=0,1,0),0),"")</f>
        <v/>
      </c>
      <c r="U36" s="472"/>
      <c r="V36" s="472"/>
      <c r="W36" s="472"/>
      <c r="X36" s="472"/>
      <c r="Y36" s="472"/>
      <c r="Z36" s="472"/>
      <c r="AA36" s="472"/>
      <c r="AB36" s="472"/>
      <c r="AC36" s="472"/>
      <c r="AD36" s="472"/>
      <c r="AE36" s="472"/>
      <c r="AF36" s="472"/>
      <c r="AG36" s="472"/>
      <c r="AH36" s="472"/>
    </row>
    <row r="37" spans="1:34" ht="15.5" customHeight="1" x14ac:dyDescent="0.2">
      <c r="A37" s="539"/>
      <c r="B37" s="61" t="s">
        <v>93</v>
      </c>
      <c r="C37" s="455" t="str">
        <f>""</f>
        <v/>
      </c>
      <c r="D37" s="61">
        <f>IF(RHIZO_ClientWithOrWithoutScanner=1,$D$30,0)</f>
        <v>0</v>
      </c>
      <c r="E37" s="61"/>
      <c r="F37" s="61">
        <v>1</v>
      </c>
      <c r="G37" s="61">
        <f>TableQCalcMain[[#This Row],[ShowDesc?]]*TableQCalcMain[[#This Row],[Software]]</f>
        <v>0</v>
      </c>
      <c r="H37" s="61">
        <f>TableQCalcMain[[#This Row],[ShowDesc?]]*TableQCalcMain[[#This Row],[Hardware]]</f>
        <v>0</v>
      </c>
      <c r="I37" s="61" t="str">
        <f>"         " &amp; WinRHIZO!D16&amp;REPT(" ",1)  &amp;REPT(" ",20) &amp; "S/N:" &amp;RHIZO_SerialTPU</f>
        <v xml:space="preserve">         • Lumière spéciale (LS) pour scanner Racines, Graines ou Aiguilles                     S/N:</v>
      </c>
      <c r="J37" s="61" t="str">
        <f>""</f>
        <v/>
      </c>
      <c r="K37" s="548" t="str">
        <f>IF(RHIZO_IndexScanner=1,
"incl.",
IF(Distributeurs_Rabais,PrixTPU_Dist,PrixTPU)*(RHIZO_N_System-1)
)</f>
        <v>incl.</v>
      </c>
      <c r="L37" s="61" t="str">
        <f>""</f>
        <v/>
      </c>
      <c r="M37" s="61" t="str">
        <f>""</f>
        <v/>
      </c>
      <c r="N37" s="72" t="str">
        <f>IF(TableQCalcMain[[#This Row],[RowNumOfShownItems_Unsplit]]&lt;&gt;"",INDEX(TableQCalcMain[Description],TableQCalcMain[[#This Row],[RowNumOfShownItems_Unsplit]]),"")</f>
        <v/>
      </c>
      <c r="O37" s="61" t="str">
        <f>IF(TableQCalcMain[[#This Row],[RowNumOfShownItems_Unsplit]]&lt;&gt;"",INDEX(TableQCalcMain[Harmonized_Code],TableQCalcMain[[#This Row],[RowNumOfShownItems_Unsplit]]),"")</f>
        <v/>
      </c>
      <c r="P37" s="61" t="str">
        <f>IF(TableQCalcMain[[#This Row],[RowNumOfShownItems_Unsplit]]="","",INDEX(TableQCalcMain[Detailed_Ext_Price],TableQCalcMain[[#This Row],[RowNumOfShownItems_Unsplit]]))</f>
        <v/>
      </c>
      <c r="Q37" s="61" t="str">
        <f>IF(TableQCalcMain[[#This Row],[RowNumOfShownItems_Unsplit]]="","",INDEX(TableQCalcMain[Real_Quantity],TableQCalcMain[[#This Row],[RowNumOfShownItems_Unsplit]]))</f>
        <v/>
      </c>
      <c r="R37" s="61" t="str">
        <f>IF(TableQCalcMain[[#This Row],[RowNumOfShownItems_Unsplit]]="","",
IF(IFERROR(
INDEX(TableQCalcMain[Unit_Price],TableQCalcMain[[#This Row],[RowNumOfShownItems_Unsplit]]),0)=0,"",
INDEX(TableQCalcMain[Unit_Price],TableQCalcMain[[#This Row],[RowNumOfShownItems_Unsplit]])
))</f>
        <v/>
      </c>
      <c r="S37" s="61" t="str">
        <f>IF(TableQCalcMain[[#This Row],[RowNumOfShownItems_Unsplit]]="","",
IF(IFERROR(
INDEX(TableQCalcMain[Extended_price],TableQCalcMain[[#This Row],[RowNumOfShownItems_Unsplit]]),0)=0,"",
INDEX(TableQCalcMain[Extended_price],TableQCalcMain[[#This Row],[RowNumOfShownItems_Unsplit]])
))</f>
        <v/>
      </c>
      <c r="T37" t="str">
        <f t="array" ref="T37">IFERROR(MATCH(0,COUNTIF(N$2:$N36,TableQCalcMain[Description])+IF(TableQCalcMain[ShowDesc?]=0,1,0),0),"")</f>
        <v/>
      </c>
      <c r="U37" s="472"/>
      <c r="V37" s="472"/>
      <c r="W37" s="472"/>
      <c r="X37" s="472"/>
      <c r="Y37" s="472"/>
      <c r="Z37" s="472"/>
      <c r="AA37" s="472"/>
      <c r="AB37" s="472"/>
      <c r="AC37" s="472"/>
      <c r="AD37" s="472"/>
      <c r="AE37" s="472"/>
      <c r="AF37" s="472"/>
      <c r="AG37" s="472"/>
      <c r="AH37" s="472"/>
    </row>
    <row r="38" spans="1:34" ht="15.5" customHeight="1" x14ac:dyDescent="0.2">
      <c r="A38" s="539"/>
      <c r="B38" s="61" t="s">
        <v>339</v>
      </c>
      <c r="C38" s="455" t="str">
        <f>IF(AND(QUOTE_Split_SoftwareHardware,RHIZO_PosiOrBlueBG_Checkbox,NOT(RHIZO_ClientWithOrWithoutScanner_ChkBox)),$C$30,"")</f>
        <v/>
      </c>
      <c r="D38" s="61">
        <f>IF(RHIZO_PosiOrBlueBG_Checkbox,D30,0)</f>
        <v>0</v>
      </c>
      <c r="E38" s="61"/>
      <c r="F38" s="61">
        <v>1</v>
      </c>
      <c r="G38" s="61">
        <f>TableQCalcMain[[#This Row],[ShowDesc?]]*TableQCalcMain[[#This Row],[Software]]</f>
        <v>0</v>
      </c>
      <c r="H38" s="61">
        <f>TableQCalcMain[[#This Row],[ShowDesc?]]*TableQCalcMain[[#This Row],[Hardware]]</f>
        <v>0</v>
      </c>
      <c r="I38" s="61" t="str">
        <f>SUBSTITUTE("         " &amp; WinRHIZO!D21,
"         • ",
IF(AND(QUOTE_Split_SoftwareHardware,NOT(RHIZO_ClientWithOrWithoutScanner_ChkBox)),"","         • "))</f>
        <v xml:space="preserve">         • Positionneur de racines pour scanner STD (3 Plats, Cadre, Blocs, Espaceurs, Fond bleu)</v>
      </c>
      <c r="J38" s="61" t="str">
        <f>IF(QUOTE_Split_SoftwareHardware,847330,"")</f>
        <v/>
      </c>
      <c r="K38" s="548">
        <f>ROUND(IF(RHIZO_IndexScanner=1,PrixRootPosiSTD,PrixRootPosiLA)*(RHIZO_PosiOrBlueBG_Checkbox)*(RHIZO_N_System-1)*(1-RebateHardware*Distributeurs_Rabais),0)</f>
        <v>0</v>
      </c>
      <c r="L38" s="61">
        <f>IF(AND(QUOTE_Split_SoftwareHardware,RHIZO_PosiOrBlueBG_Checkbox,NOT(RHIZO_ClientWithOrWithoutScanner_ChkBox)),TableQCalcMain[[#This Row],[Detailed_Ext_Price]]/TableQCalcMain[[#This Row],[ShowDesc?]],0)</f>
        <v>0</v>
      </c>
      <c r="M38" s="61">
        <f>IF(AND(QUOTE_Split_SoftwareHardware,RHIZO_PosiOrBlueBG_Checkbox,NOT(RHIZO_ClientWithOrWithoutScanner_ChkBox)),TableQCalcMain[[#This Row],[Detailed_Ext_Price]],0)</f>
        <v>0</v>
      </c>
      <c r="N38" s="72" t="str">
        <f>IF(TableQCalcMain[[#This Row],[RowNumOfShownItems_Unsplit]]&lt;&gt;"",INDEX(TableQCalcMain[Description],TableQCalcMain[[#This Row],[RowNumOfShownItems_Unsplit]]),"")</f>
        <v/>
      </c>
      <c r="O38" s="61" t="str">
        <f>IF(TableQCalcMain[[#This Row],[RowNumOfShownItems_Unsplit]]&lt;&gt;"",INDEX(TableQCalcMain[Harmonized_Code],TableQCalcMain[[#This Row],[RowNumOfShownItems_Unsplit]]),"")</f>
        <v/>
      </c>
      <c r="P38" s="61" t="str">
        <f>IF(TableQCalcMain[[#This Row],[RowNumOfShownItems_Unsplit]]="","",INDEX(TableQCalcMain[Detailed_Ext_Price],TableQCalcMain[[#This Row],[RowNumOfShownItems_Unsplit]]))</f>
        <v/>
      </c>
      <c r="Q38" s="61" t="str">
        <f>IF(TableQCalcMain[[#This Row],[RowNumOfShownItems_Unsplit]]="","",INDEX(TableQCalcMain[Real_Quantity],TableQCalcMain[[#This Row],[RowNumOfShownItems_Unsplit]]))</f>
        <v/>
      </c>
      <c r="R38" s="61" t="str">
        <f>IF(TableQCalcMain[[#This Row],[RowNumOfShownItems_Unsplit]]="","",
IF(IFERROR(
INDEX(TableQCalcMain[Unit_Price],TableQCalcMain[[#This Row],[RowNumOfShownItems_Unsplit]]),0)=0,"",
INDEX(TableQCalcMain[Unit_Price],TableQCalcMain[[#This Row],[RowNumOfShownItems_Unsplit]])
))</f>
        <v/>
      </c>
      <c r="S38" s="61" t="str">
        <f>IF(TableQCalcMain[[#This Row],[RowNumOfShownItems_Unsplit]]="","",
IF(IFERROR(
INDEX(TableQCalcMain[Extended_price],TableQCalcMain[[#This Row],[RowNumOfShownItems_Unsplit]]),0)=0,"",
INDEX(TableQCalcMain[Extended_price],TableQCalcMain[[#This Row],[RowNumOfShownItems_Unsplit]])
))</f>
        <v/>
      </c>
      <c r="T38" t="str">
        <f t="array" ref="T38">IFERROR(MATCH(0,COUNTIF(N$2:$N37,TableQCalcMain[Description])+IF(TableQCalcMain[ShowDesc?]=0,1,0),0),"")</f>
        <v/>
      </c>
      <c r="U38" s="472"/>
      <c r="V38" s="472"/>
      <c r="W38" s="472"/>
      <c r="X38" s="472"/>
      <c r="Y38" s="472"/>
      <c r="Z38" s="472"/>
      <c r="AA38" s="472"/>
      <c r="AB38" s="472"/>
      <c r="AC38" s="472"/>
      <c r="AD38" s="472"/>
      <c r="AE38" s="472"/>
      <c r="AF38" s="472"/>
      <c r="AG38" s="472"/>
      <c r="AH38" s="472"/>
    </row>
    <row r="39" spans="1:34" ht="15.5" customHeight="1" x14ac:dyDescent="0.2">
      <c r="A39" s="539"/>
      <c r="B39" s="571" t="s">
        <v>348</v>
      </c>
      <c r="C39" s="572" t="str">
        <f>IF(AND((QUOTE_Split_SoftwareHardware),N(C31)=0),$C$30,
IF(AND(QUOTE_Split_SoftwareHardware,NOT(RHIZO_ClientWithOrWithoutScanner_ChkBox)),$C$30,"")
)</f>
        <v/>
      </c>
      <c r="D39" s="571">
        <f>IF(AND((QUOTE_Split_SoftwareHardware),AND(NOT(SuperUser),N(D31)=0)),0,D30)</f>
        <v>0</v>
      </c>
      <c r="E39" s="538">
        <v>1</v>
      </c>
      <c r="F39" s="538">
        <v>0</v>
      </c>
      <c r="G39" s="538">
        <f>TableQCalcMain[[#This Row],[ShowDesc?]]*TableQCalcMain[[#This Row],[Software]]</f>
        <v>0</v>
      </c>
      <c r="H39" s="538">
        <f>TableQCalcMain[[#This Row],[ShowDesc?]]*TableQCalcMain[[#This Row],[Hardware]]</f>
        <v>0</v>
      </c>
      <c r="I39" s="571" t="str">
        <f>IF(AND((QUOTE_Split_SoftwareHardware),N(C31)=0),"","         • ") &amp; IF(Francais,
"Calibration Scanner, Instructions," &amp; IF(OR(LEFT(TableQCalcMain[[#This Row],[Variable / Product ID]],3)="RHI",LEFT(TableQCalcMain[[#This Row],[Variable / Product ID]],3)="SEE")," Didacticiel vidéo,","") &amp; " Pilote TWAIN " &amp; "&amp;" &amp; " Support Technique",
"Scanner Calibration, Instructions," &amp; IF(OR(LEFT(TableQCalcMain[[#This Row],[Variable / Product ID]],3)="RHI",LEFT(TableQCalcMain[[#This Row],[Variable / Product ID]],3)="SEE")," Video tutorial,","") &amp; " TWAIN driver " &amp; "&amp;" &amp; " Technical support")
&amp; IF(LEFT(TableQCalcMain[[#This Row],[Variable / Product ID]],3)="DEN",REPT(" ",0),
IF(LEFT(TableQCalcMain[[#This Row],[Variable / Product ID]],3)="RHI",REPT(" ",1),
IF(LEFT(TableQCalcMain[[#This Row],[Variable / Product ID]],3)="FOL",REPT(" ",2),
IF(LEFT(TableQCalcMain[[#This Row],[Variable / Product ID]],3)="SEE",REPT(" ",3),
IF(LEFT(TableQCalcMain[[#This Row],[Variable / Product ID]],3)="CAM",REPT(" ",4),"")))))</f>
        <v xml:space="preserve">         • Calibration Scanner, Instructions, Didacticiel vidéo, Pilote TWAIN &amp; Support Technique </v>
      </c>
      <c r="J39" s="538" t="str">
        <f>""</f>
        <v/>
      </c>
      <c r="K39" s="549">
        <f>(IF(RHIZO_IndexScanner=1,STD_GenCalib_Drivers_Instr_Techsup,LA_GenCalib_Drivers_Instr_Techsup)
)*(RHIZO_N_System-1)*(1-RebateCalibScanner*Distributeurs_Rabais)</f>
        <v>0</v>
      </c>
      <c r="L39" s="538" t="str">
        <f>IF(QUOTE_Split_SoftwareHardware,TableQCalcMain[[#This Row],[Detailed_Ext_Price]]/TableQCalcMain[[#This Row],[ShowDesc?]],"")</f>
        <v/>
      </c>
      <c r="M39" s="538">
        <f>IF(QUOTE_Split_SoftwareHardware,TableQCalcMain[[#This Row],[Detailed_Ext_Price]],0)</f>
        <v>0</v>
      </c>
      <c r="N39" s="72" t="str">
        <f>IF(TableQCalcMain[[#This Row],[RowNumOfShownItems_Unsplit]]&lt;&gt;"",INDEX(TableQCalcMain[Description],TableQCalcMain[[#This Row],[RowNumOfShownItems_Unsplit]]),"")</f>
        <v/>
      </c>
      <c r="O39" s="61" t="str">
        <f>IF(TableQCalcMain[[#This Row],[RowNumOfShownItems_Unsplit]]&lt;&gt;"",INDEX(TableQCalcMain[Harmonized_Code],TableQCalcMain[[#This Row],[RowNumOfShownItems_Unsplit]]),"")</f>
        <v/>
      </c>
      <c r="P39" s="61" t="str">
        <f>IF(TableQCalcMain[[#This Row],[RowNumOfShownItems_Unsplit]]="","",INDEX(TableQCalcMain[Detailed_Ext_Price],TableQCalcMain[[#This Row],[RowNumOfShownItems_Unsplit]]))</f>
        <v/>
      </c>
      <c r="Q39" s="61" t="str">
        <f>IF(TableQCalcMain[[#This Row],[RowNumOfShownItems_Unsplit]]="","",INDEX(TableQCalcMain[Real_Quantity],TableQCalcMain[[#This Row],[RowNumOfShownItems_Unsplit]]))</f>
        <v/>
      </c>
      <c r="R39" s="61" t="str">
        <f>IF(TableQCalcMain[[#This Row],[RowNumOfShownItems_Unsplit]]="","",
IF(IFERROR(
INDEX(TableQCalcMain[Unit_Price],TableQCalcMain[[#This Row],[RowNumOfShownItems_Unsplit]]),0)=0,"",
INDEX(TableQCalcMain[Unit_Price],TableQCalcMain[[#This Row],[RowNumOfShownItems_Unsplit]])
))</f>
        <v/>
      </c>
      <c r="S39" s="61" t="str">
        <f>IF(TableQCalcMain[[#This Row],[RowNumOfShownItems_Unsplit]]="","",
IF(IFERROR(
INDEX(TableQCalcMain[Extended_price],TableQCalcMain[[#This Row],[RowNumOfShownItems_Unsplit]]),0)=0,"",
INDEX(TableQCalcMain[Extended_price],TableQCalcMain[[#This Row],[RowNumOfShownItems_Unsplit]])
))</f>
        <v/>
      </c>
      <c r="T39" t="str">
        <f t="array" ref="T39">IFERROR(MATCH(0,COUNTIF(N$2:$N38,TableQCalcMain[Description])+IF(TableQCalcMain[ShowDesc?]=0,1,0),0),"")</f>
        <v/>
      </c>
      <c r="U39" s="472"/>
      <c r="V39" s="472"/>
      <c r="W39" s="472"/>
      <c r="X39" s="472"/>
      <c r="Y39" s="472"/>
      <c r="Z39" s="472"/>
      <c r="AA39" s="472"/>
      <c r="AB39" s="472"/>
      <c r="AC39" s="472"/>
      <c r="AD39" s="472"/>
      <c r="AE39" s="472"/>
      <c r="AF39" s="472"/>
      <c r="AG39" s="472"/>
      <c r="AH39" s="472"/>
    </row>
    <row r="40" spans="1:34" ht="15.5" customHeight="1" x14ac:dyDescent="0.2">
      <c r="A40" s="539"/>
      <c r="B40" s="61" t="s">
        <v>343</v>
      </c>
      <c r="C40" s="455"/>
      <c r="D40" s="61"/>
      <c r="E40" s="61"/>
      <c r="F40" s="61"/>
      <c r="G40" s="61"/>
      <c r="H40" s="61"/>
      <c r="I40" s="61"/>
      <c r="J40" s="61" t="str">
        <f>""</f>
        <v/>
      </c>
      <c r="K40" s="61" t="str">
        <f>""</f>
        <v/>
      </c>
      <c r="L40" s="61" t="str">
        <f>""</f>
        <v/>
      </c>
      <c r="M40" s="61" t="str">
        <f>""</f>
        <v/>
      </c>
      <c r="N40" s="72" t="str">
        <f>IF(TableQCalcMain[[#This Row],[RowNumOfShownItems_Unsplit]]&lt;&gt;"",INDEX(TableQCalcMain[Description],TableQCalcMain[[#This Row],[RowNumOfShownItems_Unsplit]]),"")</f>
        <v/>
      </c>
      <c r="O40" s="61" t="str">
        <f>IF(TableQCalcMain[[#This Row],[RowNumOfShownItems_Unsplit]]&lt;&gt;"",INDEX(TableQCalcMain[Harmonized_Code],TableQCalcMain[[#This Row],[RowNumOfShownItems_Unsplit]]),"")</f>
        <v/>
      </c>
      <c r="P40" s="61" t="str">
        <f>IF(TableQCalcMain[[#This Row],[RowNumOfShownItems_Unsplit]]="","",INDEX(TableQCalcMain[Detailed_Ext_Price],TableQCalcMain[[#This Row],[RowNumOfShownItems_Unsplit]]))</f>
        <v/>
      </c>
      <c r="Q40" s="61" t="str">
        <f>IF(TableQCalcMain[[#This Row],[RowNumOfShownItems_Unsplit]]="","",INDEX(TableQCalcMain[Real_Quantity],TableQCalcMain[[#This Row],[RowNumOfShownItems_Unsplit]]))</f>
        <v/>
      </c>
      <c r="R40" s="61" t="str">
        <f>IF(TableQCalcMain[[#This Row],[RowNumOfShownItems_Unsplit]]="","",
IF(IFERROR(
INDEX(TableQCalcMain[Unit_Price],TableQCalcMain[[#This Row],[RowNumOfShownItems_Unsplit]]),0)=0,"",
INDEX(TableQCalcMain[Unit_Price],TableQCalcMain[[#This Row],[RowNumOfShownItems_Unsplit]])
))</f>
        <v/>
      </c>
      <c r="S40" s="61" t="str">
        <f>IF(TableQCalcMain[[#This Row],[RowNumOfShownItems_Unsplit]]="","",
IF(IFERROR(
INDEX(TableQCalcMain[Extended_price],TableQCalcMain[[#This Row],[RowNumOfShownItems_Unsplit]]),0)=0,"",
INDEX(TableQCalcMain[Extended_price],TableQCalcMain[[#This Row],[RowNumOfShownItems_Unsplit]])
))</f>
        <v/>
      </c>
      <c r="T40" t="str">
        <f t="array" ref="T40">IFERROR(MATCH(0,COUNTIF(N$2:$N39,TableQCalcMain[Description])+IF(TableQCalcMain[ShowDesc?]=0,1,0),0),"")</f>
        <v/>
      </c>
      <c r="U40" s="472"/>
      <c r="V40" s="472"/>
      <c r="W40" s="472"/>
      <c r="X40" s="472"/>
      <c r="Y40" s="472"/>
      <c r="Z40" s="472"/>
      <c r="AA40" s="472"/>
      <c r="AB40" s="472"/>
      <c r="AC40" s="472"/>
      <c r="AD40" s="472"/>
      <c r="AE40" s="472"/>
      <c r="AF40" s="472"/>
      <c r="AG40" s="472"/>
      <c r="AH40" s="472"/>
    </row>
    <row r="41" spans="1:34" ht="15.5" customHeight="1" x14ac:dyDescent="0.2">
      <c r="A41" s="539"/>
      <c r="B41" s="469" t="s">
        <v>23</v>
      </c>
      <c r="C41" s="455">
        <f>RHIZO_N_UpgradeUpdate-1</f>
        <v>0</v>
      </c>
      <c r="D41" s="567">
        <f>IFERROR(IF(AND(D32=0,OR(WinRHIZO!G5&gt;0,WinRHIZO!G6&gt;0)),RHIZO_N_UpgradeUpdate-1,0),0)</f>
        <v>0</v>
      </c>
      <c r="E41" s="61">
        <v>1</v>
      </c>
      <c r="F41" s="61"/>
      <c r="G41" s="61">
        <f>TableQCalcMain[[#This Row],[ShowDesc?]]*TableQCalcMain[[#This Row],[Software]]</f>
        <v>0</v>
      </c>
      <c r="H41" s="61">
        <f>TableQCalcMain[[#This Row],[ShowDesc?]]*TableQCalcMain[[#This Row],[Hardware]]</f>
        <v>0</v>
      </c>
      <c r="I41" s="537" t="str">
        <f>IF(Francais,"Mise à jour de ","Update from ") &amp;
INDEX(RHIZO_SoftwareList,RHIZO_IndexClientVersion) &amp; RHIZO_YearClient &amp;
IF(Francais," à "," to ") &amp;
INDEX(RHIZO_SoftwareList,RHIZO_IndexSoftware) &amp; RHIZO_YearMostRecent  &amp; " " &amp; "&amp;" &amp; " XLRhizo"
&amp;
IF(QUOTE_Split_SoftwareHardware,IF(QUOTE_InternetDownload,IF(Francais, ", Téléchargement Internet", ", Internet download"),IF(Francais, ", Envoyé par transporteur", ", Shipped by courier")),IF(Francais," sur media USB (manuels PDF &amp; imprimés)"," on USB drive (PDF &amp; printed manuals)"))</f>
        <v>Mise à jour de WinRHIZO™ Reg 2012 à WinRHIZO™ Reg 2025 &amp; XLRhizo sur media USB (manuels PDF &amp; imprimés)</v>
      </c>
      <c r="J41" s="61">
        <f>IF(RHIZO_N_System&gt;1,
"",WinRHIZO!I4)</f>
        <v>852349</v>
      </c>
      <c r="K41" s="61" t="str">
        <f>""</f>
        <v/>
      </c>
      <c r="L41" s="61" t="e">
        <f>ROUND(TableQCalcMain[[#This Row],[Extended_price]]/TableQCalcMain[[#This Row],[Real_Quantity]],2)</f>
        <v>#DIV/0!</v>
      </c>
      <c r="M41" s="764">
        <f>ROUND(IF(Distributeurs_Rabais,IFERROR(QCalc!G195,0),IFERROR(QCalc!F195,0))
-IF(AND(NOT(RHIZO_ChkB_RemoteUpdate),QUOTE_Split_SoftwareHardware),PrixUSBKey*(RHIZO_N_UpgradeUpdate-1),0),2)</f>
        <v>0</v>
      </c>
      <c r="N41" s="72" t="str">
        <f>IF(TableQCalcMain[[#This Row],[RowNumOfShownItems_Unsplit]]&lt;&gt;"",INDEX(TableQCalcMain[Description],TableQCalcMain[[#This Row],[RowNumOfShownItems_Unsplit]]),"")</f>
        <v/>
      </c>
      <c r="O41" s="61" t="str">
        <f>IF(TableQCalcMain[[#This Row],[RowNumOfShownItems_Unsplit]]&lt;&gt;"",INDEX(TableQCalcMain[Harmonized_Code],TableQCalcMain[[#This Row],[RowNumOfShownItems_Unsplit]]),"")</f>
        <v/>
      </c>
      <c r="P41" s="61" t="str">
        <f>IF(TableQCalcMain[[#This Row],[RowNumOfShownItems_Unsplit]]="","",INDEX(TableQCalcMain[Detailed_Ext_Price],TableQCalcMain[[#This Row],[RowNumOfShownItems_Unsplit]]))</f>
        <v/>
      </c>
      <c r="Q41" s="61" t="str">
        <f>IF(TableQCalcMain[[#This Row],[RowNumOfShownItems_Unsplit]]="","",INDEX(TableQCalcMain[Real_Quantity],TableQCalcMain[[#This Row],[RowNumOfShownItems_Unsplit]]))</f>
        <v/>
      </c>
      <c r="R41" s="61" t="str">
        <f>IF(TableQCalcMain[[#This Row],[RowNumOfShownItems_Unsplit]]="","",
IF(IFERROR(
INDEX(TableQCalcMain[Unit_Price],TableQCalcMain[[#This Row],[RowNumOfShownItems_Unsplit]]),0)=0,"",
INDEX(TableQCalcMain[Unit_Price],TableQCalcMain[[#This Row],[RowNumOfShownItems_Unsplit]])
))</f>
        <v/>
      </c>
      <c r="S41" s="61" t="str">
        <f>IF(TableQCalcMain[[#This Row],[RowNumOfShownItems_Unsplit]]="","",
IF(IFERROR(
INDEX(TableQCalcMain[Extended_price],TableQCalcMain[[#This Row],[RowNumOfShownItems_Unsplit]]),0)=0,"",
INDEX(TableQCalcMain[Extended_price],TableQCalcMain[[#This Row],[RowNumOfShownItems_Unsplit]])
))</f>
        <v/>
      </c>
      <c r="T41" t="str">
        <f t="array" ref="T41">IFERROR(MATCH(0,COUNTIF(N$2:$N40,TableQCalcMain[Description])+IF(TableQCalcMain[ShowDesc?]=0,1,0),0),"")</f>
        <v/>
      </c>
      <c r="U41" s="472"/>
      <c r="V41" s="472"/>
      <c r="W41" s="472"/>
      <c r="X41" s="472"/>
      <c r="Y41" s="472"/>
      <c r="Z41" s="472"/>
      <c r="AA41" s="472"/>
      <c r="AB41" s="472"/>
      <c r="AC41" s="472"/>
      <c r="AD41" s="472"/>
      <c r="AE41" s="472"/>
      <c r="AF41" s="472"/>
      <c r="AG41" s="472"/>
      <c r="AH41" s="472"/>
    </row>
    <row r="42" spans="1:34" ht="15.5" customHeight="1" x14ac:dyDescent="0.2">
      <c r="A42" s="539"/>
      <c r="B42" s="470" t="s">
        <v>332</v>
      </c>
      <c r="C42" s="61" t="str">
        <f>""</f>
        <v/>
      </c>
      <c r="D42" s="61">
        <f>IF(QUOTE_Split_SoftwareHardware,N($C$41),0)</f>
        <v>0</v>
      </c>
      <c r="E42" s="61">
        <v>1</v>
      </c>
      <c r="F42" s="61"/>
      <c r="G42" s="61">
        <f>TableQCalcMain[[#This Row],[ShowDesc?]]*TableQCalcMain[[#This Row],[Software]]</f>
        <v>0</v>
      </c>
      <c r="H42" s="61"/>
      <c r="I42" s="61" t="str">
        <f>"         • " &amp; IF(AND(QUOTE_Split_SoftwareHardware,QUOTE_InternetDownload),
IF(Francais,"Logiciels et documents d'instructions (fichiers PDF)","Software &amp; Instructions documents (PDF files)"),
IF(Francais,"Logiciel et documents d'instructions (" &amp; IF(QUOTE_InternetDownload,"sur clé USB","PDF") &amp; " et imprimés)","Software &amp; Instructions documents (" &amp; IF(QUOTE_InternetDownload,"on USB Key","PDF") &amp; " &amp; printed)"))
&amp;REPT(" ",5)</f>
        <v xml:space="preserve">         • Logiciel et documents d'instructions (PDF et imprimés)     </v>
      </c>
      <c r="J42" s="61" t="str">
        <f>""</f>
        <v/>
      </c>
      <c r="K42" s="61" t="str">
        <f>""</f>
        <v/>
      </c>
      <c r="L42" s="61" t="str">
        <f>""</f>
        <v/>
      </c>
      <c r="M42" s="61" t="str">
        <f>""</f>
        <v/>
      </c>
      <c r="N42" s="72" t="str">
        <f>IF(TableQCalcMain[[#This Row],[RowNumOfShownItems_Unsplit]]&lt;&gt;"",INDEX(TableQCalcMain[Description],TableQCalcMain[[#This Row],[RowNumOfShownItems_Unsplit]]),"")</f>
        <v/>
      </c>
      <c r="O42" s="61" t="str">
        <f>IF(TableQCalcMain[[#This Row],[RowNumOfShownItems_Unsplit]]&lt;&gt;"",INDEX(TableQCalcMain[Harmonized_Code],TableQCalcMain[[#This Row],[RowNumOfShownItems_Unsplit]]),"")</f>
        <v/>
      </c>
      <c r="P42" s="61" t="str">
        <f>IF(TableQCalcMain[[#This Row],[RowNumOfShownItems_Unsplit]]="","",INDEX(TableQCalcMain[Detailed_Ext_Price],TableQCalcMain[[#This Row],[RowNumOfShownItems_Unsplit]]))</f>
        <v/>
      </c>
      <c r="Q42" s="61" t="str">
        <f>IF(TableQCalcMain[[#This Row],[RowNumOfShownItems_Unsplit]]="","",INDEX(TableQCalcMain[Real_Quantity],TableQCalcMain[[#This Row],[RowNumOfShownItems_Unsplit]]))</f>
        <v/>
      </c>
      <c r="R42" s="61" t="str">
        <f>IF(TableQCalcMain[[#This Row],[RowNumOfShownItems_Unsplit]]="","",
IF(IFERROR(
INDEX(TableQCalcMain[Unit_Price],TableQCalcMain[[#This Row],[RowNumOfShownItems_Unsplit]]),0)=0,"",
INDEX(TableQCalcMain[Unit_Price],TableQCalcMain[[#This Row],[RowNumOfShownItems_Unsplit]])
))</f>
        <v/>
      </c>
      <c r="S42" s="61" t="str">
        <f>IF(TableQCalcMain[[#This Row],[RowNumOfShownItems_Unsplit]]="","",
IF(IFERROR(
INDEX(TableQCalcMain[Extended_price],TableQCalcMain[[#This Row],[RowNumOfShownItems_Unsplit]]),0)=0,"",
INDEX(TableQCalcMain[Extended_price],TableQCalcMain[[#This Row],[RowNumOfShownItems_Unsplit]])
))</f>
        <v/>
      </c>
      <c r="T42" t="str">
        <f t="array" ref="T42">IFERROR(MATCH(0,COUNTIF(N$2:$N41,TableQCalcMain[Description])+IF(TableQCalcMain[ShowDesc?]=0,1,0),0),"")</f>
        <v/>
      </c>
      <c r="U42" s="472"/>
      <c r="V42" s="472"/>
      <c r="W42" s="472"/>
      <c r="X42" s="472"/>
      <c r="Y42" s="472"/>
      <c r="Z42" s="472"/>
      <c r="AA42" s="472"/>
      <c r="AB42" s="472"/>
      <c r="AC42" s="472"/>
      <c r="AD42" s="472"/>
      <c r="AE42" s="472"/>
      <c r="AF42" s="472"/>
      <c r="AG42" s="472"/>
      <c r="AH42" s="472"/>
    </row>
    <row r="43" spans="1:34" ht="15.5" customHeight="1" x14ac:dyDescent="0.2">
      <c r="A43" s="539"/>
      <c r="B43" s="538" t="str">
        <f>B39&amp;"Upd"</f>
        <v>RHIZO System Calib ManualUpd</v>
      </c>
      <c r="C43" s="538" t="str">
        <f>""</f>
        <v/>
      </c>
      <c r="D43" s="764">
        <f>IF(AND(D30&gt;0,D31=0),IF(NOT(AND(RHIZO_ChkBox_UpgradeUpdate,RHIZO_ChkB_RemoteUpdate,QUOTE_Split_SoftwareHardware)),D35,1),0)</f>
        <v>0</v>
      </c>
      <c r="E43" s="538">
        <v>1</v>
      </c>
      <c r="F43" s="538">
        <v>0</v>
      </c>
      <c r="G43" s="538">
        <f>TableQCalcMain[[#This Row],[ShowDesc?]]*TableQCalcMain[[#This Row],[Software]]</f>
        <v>0</v>
      </c>
      <c r="H43" s="538">
        <f>TableQCalcMain[[#This Row],[ShowDesc?]]*TableQCalcMain[[#This Row],[Hardware]]</f>
        <v>0</v>
      </c>
      <c r="I43" s="538" t="str">
        <f>"         • " &amp; IF(Francais,
"Calibration Scanner, Instructions," &amp; IF(OR(LEFT(TableQCalcMain[[#This Row],[Variable / Product ID]],3)="RHI",LEFT(TableQCalcMain[[#This Row],[Variable / Product ID]],3)="SEE")," Didacticiel vidéo,","") &amp; " Pilote TWAIN " &amp; "&amp;" &amp; " Support Technique",
"Scanner Calibration, Instructions," &amp; IF(OR(LEFT(TableQCalcMain[[#This Row],[Variable / Product ID]],3)="RHI",LEFT(TableQCalcMain[[#This Row],[Variable / Product ID]],3)="SEE")," Video tutorial,","") &amp; " TWAIN driver " &amp; "&amp;" &amp; " Technical support")
&amp; IF(LEFT(TableQCalcMain[[#This Row],[Variable / Product ID]],3)="DEN",REPT(" ",5),
IF(LEFT(TableQCalcMain[[#This Row],[Variable / Product ID]],3)="RHI",REPT(" ",6),
IF(LEFT(TableQCalcMain[[#This Row],[Variable / Product ID]],3)="FOL",REPT(" ",7),
IF(LEFT(TableQCalcMain[[#This Row],[Variable / Product ID]],3)="SEE",REPT(" ",8),
IF(LEFT(TableQCalcMain[[#This Row],[Variable / Product ID]],3)="CAM",REPT(" ",9),"")))))</f>
        <v xml:space="preserve">         • Calibration Scanner, Instructions, Didacticiel vidéo, Pilote TWAIN &amp; Support Technique      </v>
      </c>
      <c r="J43" s="538" t="str">
        <f>J39</f>
        <v/>
      </c>
      <c r="K43" s="538">
        <f t="shared" ref="K43:M43" si="0">K39</f>
        <v>0</v>
      </c>
      <c r="L43" s="538" t="str">
        <f>IF(QUOTE_Split_SoftwareHardware,TableQCalcMain[[#This Row],[Detailed_Ext_Price]]/TableQCalcMain[[#This Row],[ShowDesc?]],"")</f>
        <v/>
      </c>
      <c r="M43" s="538">
        <f t="shared" si="0"/>
        <v>0</v>
      </c>
      <c r="N43" s="72" t="str">
        <f>IF(TableQCalcMain[[#This Row],[RowNumOfShownItems_Unsplit]]&lt;&gt;"",INDEX(TableQCalcMain[Description],TableQCalcMain[[#This Row],[RowNumOfShownItems_Unsplit]]),"")</f>
        <v/>
      </c>
      <c r="O43" s="61" t="str">
        <f>IF(TableQCalcMain[[#This Row],[RowNumOfShownItems_Unsplit]]&lt;&gt;"",INDEX(TableQCalcMain[Harmonized_Code],TableQCalcMain[[#This Row],[RowNumOfShownItems_Unsplit]]),"")</f>
        <v/>
      </c>
      <c r="P43" s="61" t="str">
        <f>IF(TableQCalcMain[[#This Row],[RowNumOfShownItems_Unsplit]]="","",INDEX(TableQCalcMain[Detailed_Ext_Price],TableQCalcMain[[#This Row],[RowNumOfShownItems_Unsplit]]))</f>
        <v/>
      </c>
      <c r="Q43" s="61" t="str">
        <f>IF(TableQCalcMain[[#This Row],[RowNumOfShownItems_Unsplit]]="","",INDEX(TableQCalcMain[Real_Quantity],TableQCalcMain[[#This Row],[RowNumOfShownItems_Unsplit]]))</f>
        <v/>
      </c>
      <c r="R43" s="61" t="str">
        <f>IF(TableQCalcMain[[#This Row],[RowNumOfShownItems_Unsplit]]="","",
IF(IFERROR(
INDEX(TableQCalcMain[Unit_Price],TableQCalcMain[[#This Row],[RowNumOfShownItems_Unsplit]]),0)=0,"",
INDEX(TableQCalcMain[Unit_Price],TableQCalcMain[[#This Row],[RowNumOfShownItems_Unsplit]])
))</f>
        <v/>
      </c>
      <c r="S43" s="61" t="str">
        <f>IF(TableQCalcMain[[#This Row],[RowNumOfShownItems_Unsplit]]="","",
IF(IFERROR(
INDEX(TableQCalcMain[Extended_price],TableQCalcMain[[#This Row],[RowNumOfShownItems_Unsplit]]),0)=0,"",
INDEX(TableQCalcMain[Extended_price],TableQCalcMain[[#This Row],[RowNumOfShownItems_Unsplit]])
))</f>
        <v/>
      </c>
      <c r="T43" t="str">
        <f t="array" ref="T43">IFERROR(MATCH(0,COUNTIF(N$2:$N42,TableQCalcMain[Description])+IF(TableQCalcMain[ShowDesc?]=0,1,0),0),"")</f>
        <v/>
      </c>
      <c r="U43" s="472"/>
      <c r="V43" s="472"/>
      <c r="W43" s="472"/>
      <c r="X43" s="472"/>
      <c r="Y43" s="472"/>
      <c r="Z43" s="472"/>
      <c r="AA43" s="472"/>
      <c r="AB43" s="472"/>
      <c r="AC43" s="472"/>
      <c r="AD43" s="472"/>
      <c r="AE43" s="472"/>
      <c r="AF43" s="472"/>
      <c r="AG43" s="472"/>
      <c r="AH43" s="472"/>
    </row>
    <row r="44" spans="1:34" ht="15.5" customHeight="1" x14ac:dyDescent="0.2">
      <c r="A44" s="539"/>
      <c r="B44" s="61" t="s">
        <v>26</v>
      </c>
      <c r="C44" s="61">
        <f>IF(TableQCalcMain[[#This Row],[Unit_Price]]&gt;0,TableQCalcMain[[#This Row],[ShowDesc?]],"")</f>
        <v>0</v>
      </c>
      <c r="D44" s="61">
        <f>IF(TableQCalcMain[[#This Row],[Unit_Price]]&gt;0,RHIZO_Option1-1,0)</f>
        <v>0</v>
      </c>
      <c r="E44" s="61"/>
      <c r="F44" s="61">
        <v>1</v>
      </c>
      <c r="G44" s="61">
        <f>TableQCalcMain[[#This Row],[ShowDesc?]]*TableQCalcMain[[#This Row],[Software]]</f>
        <v>0</v>
      </c>
      <c r="H44" s="61">
        <f>TableQCalcMain[[#This Row],[ShowDesc?]]*TableQCalcMain[[#This Row],[Hardware]]</f>
        <v>0</v>
      </c>
      <c r="I44" s="61" t="str">
        <f>LEFT(WinRHIZO!D24,SEARCH(" cm",WinRHIZO!D24)+2)&amp;TextTrayWarranty</f>
        <v>Ensemble de 2 Petits plats                                    15x20, 20x25 cm Garantie 30 jours, à inspecter à la réception</v>
      </c>
      <c r="J44" s="61">
        <f>WinRHIZO!I22</f>
        <v>847330</v>
      </c>
      <c r="K44" s="61" t="str">
        <f>""</f>
        <v/>
      </c>
      <c r="L44" s="61">
        <f>ROUND(
IF(Distributeurs_Rabais,IFERROR(WinRHIZO!#REF!,0),WinRHIZO!G24),
2)</f>
        <v>171</v>
      </c>
      <c r="M44" s="455" t="str">
        <f>IFERROR(
IF(TableQCalcMain[[#This Row],[Unit_Price]]*TableQCalcMain[[#This Row],[Real_Quantity]]&gt;0,
TableQCalcMain[[#This Row],[Unit_Price]]*TableQCalcMain[[#This Row],[Real_Quantity]],""),"")</f>
        <v/>
      </c>
      <c r="N44" s="72" t="str">
        <f>IF(TableQCalcMain[[#This Row],[RowNumOfShownItems_Unsplit]]&lt;&gt;"",INDEX(TableQCalcMain[Description],TableQCalcMain[[#This Row],[RowNumOfShownItems_Unsplit]]),"")</f>
        <v/>
      </c>
      <c r="O44" s="61" t="str">
        <f>IF(TableQCalcMain[[#This Row],[RowNumOfShownItems_Unsplit]]&lt;&gt;"",INDEX(TableQCalcMain[Harmonized_Code],TableQCalcMain[[#This Row],[RowNumOfShownItems_Unsplit]]),"")</f>
        <v/>
      </c>
      <c r="P44" s="61" t="str">
        <f>IF(TableQCalcMain[[#This Row],[RowNumOfShownItems_Unsplit]]="","",INDEX(TableQCalcMain[Detailed_Ext_Price],TableQCalcMain[[#This Row],[RowNumOfShownItems_Unsplit]]))</f>
        <v/>
      </c>
      <c r="Q44" s="61" t="str">
        <f>IF(TableQCalcMain[[#This Row],[RowNumOfShownItems_Unsplit]]="","",INDEX(TableQCalcMain[Real_Quantity],TableQCalcMain[[#This Row],[RowNumOfShownItems_Unsplit]]))</f>
        <v/>
      </c>
      <c r="R44" s="61" t="str">
        <f>IF(TableQCalcMain[[#This Row],[RowNumOfShownItems_Unsplit]]="","",
IF(IFERROR(
INDEX(TableQCalcMain[Unit_Price],TableQCalcMain[[#This Row],[RowNumOfShownItems_Unsplit]]),0)=0,"",
INDEX(TableQCalcMain[Unit_Price],TableQCalcMain[[#This Row],[RowNumOfShownItems_Unsplit]])
))</f>
        <v/>
      </c>
      <c r="S44" s="61" t="str">
        <f>IF(TableQCalcMain[[#This Row],[RowNumOfShownItems_Unsplit]]="","",
IF(IFERROR(
INDEX(TableQCalcMain[Extended_price],TableQCalcMain[[#This Row],[RowNumOfShownItems_Unsplit]]),0)=0,"",
INDEX(TableQCalcMain[Extended_price],TableQCalcMain[[#This Row],[RowNumOfShownItems_Unsplit]])
))</f>
        <v/>
      </c>
      <c r="T44" t="str">
        <f t="array" ref="T44">IFERROR(MATCH(0,COUNTIF(N$2:$N43,TableQCalcMain[Description])+IF(TableQCalcMain[ShowDesc?]=0,1,0),0),"")</f>
        <v/>
      </c>
      <c r="U44" s="472"/>
      <c r="V44" s="472"/>
      <c r="W44" s="472"/>
      <c r="X44" s="472"/>
      <c r="Y44" s="472"/>
      <c r="Z44" s="472"/>
      <c r="AA44" s="472"/>
      <c r="AB44" s="472"/>
      <c r="AC44" s="472"/>
      <c r="AD44" s="472"/>
      <c r="AE44" s="472"/>
      <c r="AF44" s="472"/>
      <c r="AG44" s="472"/>
      <c r="AH44" s="472"/>
    </row>
    <row r="45" spans="1:34" ht="15.5" customHeight="1" x14ac:dyDescent="0.2">
      <c r="A45" s="539"/>
      <c r="B45" s="61" t="s">
        <v>27</v>
      </c>
      <c r="C45" s="61">
        <f>IF(TableQCalcMain[[#This Row],[Unit_Price]]&gt;0,TableQCalcMain[[#This Row],[ShowDesc?]],"")</f>
        <v>0</v>
      </c>
      <c r="D45" s="61">
        <f>IF(TableQCalcMain[[#This Row],[Unit_Price]]&gt;0,RHIZO_Option2-1,0)</f>
        <v>0</v>
      </c>
      <c r="E45" s="61"/>
      <c r="F45" s="61">
        <v>1</v>
      </c>
      <c r="G45" s="61">
        <f>TableQCalcMain[[#This Row],[ShowDesc?]]*TableQCalcMain[[#This Row],[Software]]</f>
        <v>0</v>
      </c>
      <c r="H45" s="61">
        <f>TableQCalcMain[[#This Row],[ShowDesc?]]*TableQCalcMain[[#This Row],[Hardware]]</f>
        <v>0</v>
      </c>
      <c r="I45" s="61" t="str">
        <f>LEFT(WinRHIZO!D25,SEARCH(" cm",WinRHIZO!D25)+2)&amp;TextTrayWarranty</f>
        <v>Ensemble de 3 Petits plats                                    10x15, 15x20, 20x25 cm Garantie 30 jours, à inspecter à la réception</v>
      </c>
      <c r="J45" s="61">
        <f t="shared" ref="J45:J54" si="1">$J$44</f>
        <v>847330</v>
      </c>
      <c r="K45" s="61" t="str">
        <f>""</f>
        <v/>
      </c>
      <c r="L45" s="61">
        <f>ROUND(
IF(Distributeurs_Rabais,IFERROR(WinRHIZO!#REF!,0),WinRHIZO!G25),
2)</f>
        <v>250</v>
      </c>
      <c r="M45" s="455" t="str">
        <f>IFERROR(
IF(TableQCalcMain[[#This Row],[Unit_Price]]*TableQCalcMain[[#This Row],[Real_Quantity]]&gt;0,
TableQCalcMain[[#This Row],[Unit_Price]]*TableQCalcMain[[#This Row],[Real_Quantity]],""),"")</f>
        <v/>
      </c>
      <c r="N45" s="72" t="str">
        <f>IF(TableQCalcMain[[#This Row],[RowNumOfShownItems_Unsplit]]&lt;&gt;"",INDEX(TableQCalcMain[Description],TableQCalcMain[[#This Row],[RowNumOfShownItems_Unsplit]]),"")</f>
        <v/>
      </c>
      <c r="O45" s="61" t="str">
        <f>IF(TableQCalcMain[[#This Row],[RowNumOfShownItems_Unsplit]]&lt;&gt;"",INDEX(TableQCalcMain[Harmonized_Code],TableQCalcMain[[#This Row],[RowNumOfShownItems_Unsplit]]),"")</f>
        <v/>
      </c>
      <c r="P45" s="61" t="str">
        <f>IF(TableQCalcMain[[#This Row],[RowNumOfShownItems_Unsplit]]="","",INDEX(TableQCalcMain[Detailed_Ext_Price],TableQCalcMain[[#This Row],[RowNumOfShownItems_Unsplit]]))</f>
        <v/>
      </c>
      <c r="Q45" s="61" t="str">
        <f>IF(TableQCalcMain[[#This Row],[RowNumOfShownItems_Unsplit]]="","",INDEX(TableQCalcMain[Real_Quantity],TableQCalcMain[[#This Row],[RowNumOfShownItems_Unsplit]]))</f>
        <v/>
      </c>
      <c r="R45" s="61" t="str">
        <f>IF(TableQCalcMain[[#This Row],[RowNumOfShownItems_Unsplit]]="","",
IF(IFERROR(
INDEX(TableQCalcMain[Unit_Price],TableQCalcMain[[#This Row],[RowNumOfShownItems_Unsplit]]),0)=0,"",
INDEX(TableQCalcMain[Unit_Price],TableQCalcMain[[#This Row],[RowNumOfShownItems_Unsplit]])
))</f>
        <v/>
      </c>
      <c r="S45" s="61" t="str">
        <f>IF(TableQCalcMain[[#This Row],[RowNumOfShownItems_Unsplit]]="","",
IF(IFERROR(
INDEX(TableQCalcMain[Extended_price],TableQCalcMain[[#This Row],[RowNumOfShownItems_Unsplit]]),0)=0,"",
INDEX(TableQCalcMain[Extended_price],TableQCalcMain[[#This Row],[RowNumOfShownItems_Unsplit]])
))</f>
        <v/>
      </c>
      <c r="T45" t="str">
        <f t="array" ref="T45">IFERROR(MATCH(0,COUNTIF(N$2:$N44,TableQCalcMain[Description])+IF(TableQCalcMain[ShowDesc?]=0,1,0),0),"")</f>
        <v/>
      </c>
      <c r="U45" s="472"/>
      <c r="V45" s="472"/>
      <c r="W45" s="472"/>
      <c r="X45" s="472"/>
      <c r="Y45" s="472"/>
      <c r="Z45" s="472"/>
      <c r="AA45" s="472"/>
      <c r="AB45" s="472"/>
      <c r="AC45" s="472"/>
      <c r="AD45" s="472"/>
      <c r="AE45" s="472"/>
      <c r="AF45" s="472"/>
      <c r="AG45" s="472"/>
      <c r="AH45" s="472"/>
    </row>
    <row r="46" spans="1:34" ht="15.5" customHeight="1" x14ac:dyDescent="0.2">
      <c r="A46" s="539"/>
      <c r="B46" s="61" t="s">
        <v>28</v>
      </c>
      <c r="C46" s="61">
        <f>IF(TableQCalcMain[[#This Row],[Unit_Price]]&gt;0,TableQCalcMain[[#This Row],[ShowDesc?]],"")</f>
        <v>0</v>
      </c>
      <c r="D46" s="61">
        <f>IF(TableQCalcMain[[#This Row],[Unit_Price]]&gt;0,RHIZO_Option3-1,0)</f>
        <v>0</v>
      </c>
      <c r="E46" s="61"/>
      <c r="F46" s="61">
        <v>1</v>
      </c>
      <c r="G46" s="61">
        <f>TableQCalcMain[[#This Row],[ShowDesc?]]*TableQCalcMain[[#This Row],[Software]]</f>
        <v>0</v>
      </c>
      <c r="H46" s="61">
        <f>TableQCalcMain[[#This Row],[ShowDesc?]]*TableQCalcMain[[#This Row],[Hardware]]</f>
        <v>0</v>
      </c>
      <c r="I46" s="61" t="str">
        <f>LEFT(WinRHIZO!D26,SEARCH(" cm",WinRHIZO!D26)+2)&amp;TextTrayWarranty</f>
        <v>Petit plat individuel                                                10x15 cm Garantie 30 jours, à inspecter à la réception</v>
      </c>
      <c r="J46" s="61">
        <f t="shared" si="1"/>
        <v>847330</v>
      </c>
      <c r="K46" s="61" t="str">
        <f>""</f>
        <v/>
      </c>
      <c r="L46" s="61">
        <f>ROUND(
IF(Distributeurs_Rabais,IFERROR(WinRHIZO!#REF!,0),WinRHIZO!G26),
2)</f>
        <v>78</v>
      </c>
      <c r="M46" s="455" t="str">
        <f>IFERROR(
IF(TableQCalcMain[[#This Row],[Unit_Price]]*TableQCalcMain[[#This Row],[Real_Quantity]]&gt;0,
TableQCalcMain[[#This Row],[Unit_Price]]*TableQCalcMain[[#This Row],[Real_Quantity]],""),"")</f>
        <v/>
      </c>
      <c r="N46" s="72" t="str">
        <f>IF(TableQCalcMain[[#This Row],[RowNumOfShownItems_Unsplit]]&lt;&gt;"",INDEX(TableQCalcMain[Description],TableQCalcMain[[#This Row],[RowNumOfShownItems_Unsplit]]),"")</f>
        <v/>
      </c>
      <c r="O46" s="61" t="str">
        <f>IF(TableQCalcMain[[#This Row],[RowNumOfShownItems_Unsplit]]&lt;&gt;"",INDEX(TableQCalcMain[Harmonized_Code],TableQCalcMain[[#This Row],[RowNumOfShownItems_Unsplit]]),"")</f>
        <v/>
      </c>
      <c r="P46" s="61" t="str">
        <f>IF(TableQCalcMain[[#This Row],[RowNumOfShownItems_Unsplit]]="","",INDEX(TableQCalcMain[Detailed_Ext_Price],TableQCalcMain[[#This Row],[RowNumOfShownItems_Unsplit]]))</f>
        <v/>
      </c>
      <c r="Q46" s="61" t="str">
        <f>IF(TableQCalcMain[[#This Row],[RowNumOfShownItems_Unsplit]]="","",INDEX(TableQCalcMain[Real_Quantity],TableQCalcMain[[#This Row],[RowNumOfShownItems_Unsplit]]))</f>
        <v/>
      </c>
      <c r="R46" s="61" t="str">
        <f>IF(TableQCalcMain[[#This Row],[RowNumOfShownItems_Unsplit]]="","",
IF(IFERROR(
INDEX(TableQCalcMain[Unit_Price],TableQCalcMain[[#This Row],[RowNumOfShownItems_Unsplit]]),0)=0,"",
INDEX(TableQCalcMain[Unit_Price],TableQCalcMain[[#This Row],[RowNumOfShownItems_Unsplit]])
))</f>
        <v/>
      </c>
      <c r="S46" s="61" t="str">
        <f>IF(TableQCalcMain[[#This Row],[RowNumOfShownItems_Unsplit]]="","",
IF(IFERROR(
INDEX(TableQCalcMain[Extended_price],TableQCalcMain[[#This Row],[RowNumOfShownItems_Unsplit]]),0)=0,"",
INDEX(TableQCalcMain[Extended_price],TableQCalcMain[[#This Row],[RowNumOfShownItems_Unsplit]])
))</f>
        <v/>
      </c>
      <c r="T46" t="str">
        <f t="array" ref="T46">IFERROR(MATCH(0,COUNTIF(N$2:$N45,TableQCalcMain[Description])+IF(TableQCalcMain[ShowDesc?]=0,1,0),0),"")</f>
        <v/>
      </c>
      <c r="U46" s="472"/>
      <c r="V46" s="472"/>
      <c r="W46" s="472"/>
      <c r="X46" s="472"/>
      <c r="Y46" s="472"/>
      <c r="Z46" s="472"/>
      <c r="AA46" s="472"/>
      <c r="AB46" s="472"/>
      <c r="AC46" s="472"/>
      <c r="AD46" s="472"/>
      <c r="AE46" s="472"/>
      <c r="AF46" s="472"/>
      <c r="AG46" s="472"/>
      <c r="AH46" s="472"/>
    </row>
    <row r="47" spans="1:34" ht="15.5" customHeight="1" x14ac:dyDescent="0.2">
      <c r="A47" s="539"/>
      <c r="B47" s="61" t="s">
        <v>29</v>
      </c>
      <c r="C47" s="61">
        <f>IF(TableQCalcMain[[#This Row],[Unit_Price]]&gt;0,TableQCalcMain[[#This Row],[ShowDesc?]],"")</f>
        <v>0</v>
      </c>
      <c r="D47" s="61">
        <f>IF(TableQCalcMain[[#This Row],[Unit_Price]]&gt;0,RHIZO_Option4-1,0)</f>
        <v>0</v>
      </c>
      <c r="E47" s="61"/>
      <c r="F47" s="61">
        <v>1</v>
      </c>
      <c r="G47" s="61">
        <f>TableQCalcMain[[#This Row],[ShowDesc?]]*TableQCalcMain[[#This Row],[Software]]</f>
        <v>0</v>
      </c>
      <c r="H47" s="61">
        <f>TableQCalcMain[[#This Row],[ShowDesc?]]*TableQCalcMain[[#This Row],[Hardware]]</f>
        <v>0</v>
      </c>
      <c r="I47" s="61" t="str">
        <f>LEFT(WinRHIZO!D27,SEARCH(" cm",WinRHIZO!D27)+2)&amp;TextTrayWarranty</f>
        <v>Petit plat individuel                                                15x20 cm Garantie 30 jours, à inspecter à la réception</v>
      </c>
      <c r="J47" s="61">
        <f t="shared" si="1"/>
        <v>847330</v>
      </c>
      <c r="K47" s="61" t="str">
        <f>""</f>
        <v/>
      </c>
      <c r="L47" s="61">
        <f>ROUND(
IF(Distributeurs_Rabais,IFERROR(WinRHIZO!#REF!,0),WinRHIZO!G27),
2)</f>
        <v>85</v>
      </c>
      <c r="M47" s="455" t="str">
        <f>IFERROR(
IF(TableQCalcMain[[#This Row],[Unit_Price]]*TableQCalcMain[[#This Row],[Real_Quantity]]&gt;0,
TableQCalcMain[[#This Row],[Unit_Price]]*TableQCalcMain[[#This Row],[Real_Quantity]],""),"")</f>
        <v/>
      </c>
      <c r="N47" s="72" t="str">
        <f>IF(TableQCalcMain[[#This Row],[RowNumOfShownItems_Unsplit]]&lt;&gt;"",INDEX(TableQCalcMain[Description],TableQCalcMain[[#This Row],[RowNumOfShownItems_Unsplit]]),"")</f>
        <v/>
      </c>
      <c r="O47" s="61" t="str">
        <f>IF(TableQCalcMain[[#This Row],[RowNumOfShownItems_Unsplit]]&lt;&gt;"",INDEX(TableQCalcMain[Harmonized_Code],TableQCalcMain[[#This Row],[RowNumOfShownItems_Unsplit]]),"")</f>
        <v/>
      </c>
      <c r="P47" s="61" t="str">
        <f>IF(TableQCalcMain[[#This Row],[RowNumOfShownItems_Unsplit]]="","",INDEX(TableQCalcMain[Detailed_Ext_Price],TableQCalcMain[[#This Row],[RowNumOfShownItems_Unsplit]]))</f>
        <v/>
      </c>
      <c r="Q47" s="61" t="str">
        <f>IF(TableQCalcMain[[#This Row],[RowNumOfShownItems_Unsplit]]="","",INDEX(TableQCalcMain[Real_Quantity],TableQCalcMain[[#This Row],[RowNumOfShownItems_Unsplit]]))</f>
        <v/>
      </c>
      <c r="R47" s="61" t="str">
        <f>IF(TableQCalcMain[[#This Row],[RowNumOfShownItems_Unsplit]]="","",
IF(IFERROR(
INDEX(TableQCalcMain[Unit_Price],TableQCalcMain[[#This Row],[RowNumOfShownItems_Unsplit]]),0)=0,"",
INDEX(TableQCalcMain[Unit_Price],TableQCalcMain[[#This Row],[RowNumOfShownItems_Unsplit]])
))</f>
        <v/>
      </c>
      <c r="S47" s="61" t="str">
        <f>IF(TableQCalcMain[[#This Row],[RowNumOfShownItems_Unsplit]]="","",
IF(IFERROR(
INDEX(TableQCalcMain[Extended_price],TableQCalcMain[[#This Row],[RowNumOfShownItems_Unsplit]]),0)=0,"",
INDEX(TableQCalcMain[Extended_price],TableQCalcMain[[#This Row],[RowNumOfShownItems_Unsplit]])
))</f>
        <v/>
      </c>
      <c r="T47" t="str">
        <f t="array" ref="T47">IFERROR(MATCH(0,COUNTIF(N$2:$N46,TableQCalcMain[Description])+IF(TableQCalcMain[ShowDesc?]=0,1,0),0),"")</f>
        <v/>
      </c>
      <c r="U47" s="472"/>
      <c r="V47" s="472"/>
      <c r="W47" s="472"/>
      <c r="X47" s="472"/>
      <c r="Y47" s="472"/>
      <c r="Z47" s="472"/>
      <c r="AA47" s="472"/>
      <c r="AB47" s="472"/>
      <c r="AC47" s="472"/>
      <c r="AD47" s="472"/>
      <c r="AE47" s="472"/>
      <c r="AF47" s="472"/>
      <c r="AG47" s="472"/>
      <c r="AH47" s="472"/>
    </row>
    <row r="48" spans="1:34" ht="15.5" customHeight="1" x14ac:dyDescent="0.2">
      <c r="A48" s="539"/>
      <c r="B48" s="61" t="s">
        <v>218</v>
      </c>
      <c r="C48" s="61">
        <f>IF(TableQCalcMain[[#This Row],[Unit_Price]]&gt;0,TableQCalcMain[[#This Row],[ShowDesc?]],"")</f>
        <v>0</v>
      </c>
      <c r="D48" s="61">
        <f>IF(TableQCalcMain[[#This Row],[Unit_Price]]&gt;0,RHIZO_Option5-1,0)</f>
        <v>0</v>
      </c>
      <c r="E48" s="61"/>
      <c r="F48" s="61">
        <v>1</v>
      </c>
      <c r="G48" s="61">
        <f>TableQCalcMain[[#This Row],[ShowDesc?]]*TableQCalcMain[[#This Row],[Software]]</f>
        <v>0</v>
      </c>
      <c r="H48" s="61">
        <f>TableQCalcMain[[#This Row],[ShowDesc?]]*TableQCalcMain[[#This Row],[Hardware]]</f>
        <v>0</v>
      </c>
      <c r="I48" s="61" t="str">
        <f>LEFT(WinRHIZO!D28,SEARCH(" cm",WinRHIZO!D28)+2)&amp;TextTrayWarranty</f>
        <v>Petit plat individuel                                                20x25 cm Garantie 30 jours, à inspecter à la réception</v>
      </c>
      <c r="J48" s="61">
        <f t="shared" si="1"/>
        <v>847330</v>
      </c>
      <c r="K48" s="61" t="str">
        <f>""</f>
        <v/>
      </c>
      <c r="L48" s="61">
        <f>ROUND(
IF(Distributeurs_Rabais,IFERROR(WinRHIZO!#REF!,0),WinRHIZO!G28),
2)</f>
        <v>92</v>
      </c>
      <c r="M48" s="455" t="str">
        <f>IFERROR(
IF(TableQCalcMain[[#This Row],[Unit_Price]]*TableQCalcMain[[#This Row],[Real_Quantity]]&gt;0,
TableQCalcMain[[#This Row],[Unit_Price]]*TableQCalcMain[[#This Row],[Real_Quantity]],""),"")</f>
        <v/>
      </c>
      <c r="N48" s="72" t="str">
        <f>IF(TableQCalcMain[[#This Row],[RowNumOfShownItems_Unsplit]]&lt;&gt;"",INDEX(TableQCalcMain[Description],TableQCalcMain[[#This Row],[RowNumOfShownItems_Unsplit]]),"")</f>
        <v/>
      </c>
      <c r="O48" s="61" t="str">
        <f>IF(TableQCalcMain[[#This Row],[RowNumOfShownItems_Unsplit]]&lt;&gt;"",INDEX(TableQCalcMain[Harmonized_Code],TableQCalcMain[[#This Row],[RowNumOfShownItems_Unsplit]]),"")</f>
        <v/>
      </c>
      <c r="P48" s="61" t="str">
        <f>IF(TableQCalcMain[[#This Row],[RowNumOfShownItems_Unsplit]]="","",INDEX(TableQCalcMain[Detailed_Ext_Price],TableQCalcMain[[#This Row],[RowNumOfShownItems_Unsplit]]))</f>
        <v/>
      </c>
      <c r="Q48" s="61" t="str">
        <f>IF(TableQCalcMain[[#This Row],[RowNumOfShownItems_Unsplit]]="","",INDEX(TableQCalcMain[Real_Quantity],TableQCalcMain[[#This Row],[RowNumOfShownItems_Unsplit]]))</f>
        <v/>
      </c>
      <c r="R48" s="61" t="str">
        <f>IF(TableQCalcMain[[#This Row],[RowNumOfShownItems_Unsplit]]="","",
IF(IFERROR(
INDEX(TableQCalcMain[Unit_Price],TableQCalcMain[[#This Row],[RowNumOfShownItems_Unsplit]]),0)=0,"",
INDEX(TableQCalcMain[Unit_Price],TableQCalcMain[[#This Row],[RowNumOfShownItems_Unsplit]])
))</f>
        <v/>
      </c>
      <c r="S48" s="61" t="str">
        <f>IF(TableQCalcMain[[#This Row],[RowNumOfShownItems_Unsplit]]="","",
IF(IFERROR(
INDEX(TableQCalcMain[Extended_price],TableQCalcMain[[#This Row],[RowNumOfShownItems_Unsplit]]),0)=0,"",
INDEX(TableQCalcMain[Extended_price],TableQCalcMain[[#This Row],[RowNumOfShownItems_Unsplit]])
))</f>
        <v/>
      </c>
      <c r="T48" t="str">
        <f t="array" ref="T48">IFERROR(MATCH(0,COUNTIF(N$2:$N47,TableQCalcMain[Description])+IF(TableQCalcMain[ShowDesc?]=0,1,0),0),"")</f>
        <v/>
      </c>
      <c r="U48" s="472"/>
      <c r="V48" s="472"/>
      <c r="W48" s="472"/>
      <c r="X48" s="472"/>
      <c r="Y48" s="472"/>
      <c r="Z48" s="472"/>
      <c r="AA48" s="472"/>
      <c r="AB48" s="472"/>
      <c r="AC48" s="472"/>
      <c r="AD48" s="472"/>
      <c r="AE48" s="472"/>
      <c r="AF48" s="472"/>
      <c r="AG48" s="472"/>
      <c r="AH48" s="472"/>
    </row>
    <row r="49" spans="1:34" ht="15.5" customHeight="1" x14ac:dyDescent="0.2">
      <c r="A49" s="539"/>
      <c r="B49" s="61" t="s">
        <v>221</v>
      </c>
      <c r="C49" s="61" t="str">
        <f>IF(TableQCalcMain[[#This Row],[Unit_Price]]&gt;0,TableQCalcMain[[#This Row],[ShowDesc?]],"")</f>
        <v/>
      </c>
      <c r="D49" s="61">
        <f>IF(TableQCalcMain[[#This Row],[Unit_Price]]&gt;0,RHIZO_Option6-1,0)</f>
        <v>0</v>
      </c>
      <c r="E49" s="61"/>
      <c r="F49" s="61">
        <v>1</v>
      </c>
      <c r="G49" s="61">
        <f>TableQCalcMain[[#This Row],[ShowDesc?]]*TableQCalcMain[[#This Row],[Software]]</f>
        <v>0</v>
      </c>
      <c r="H49" s="61">
        <f>TableQCalcMain[[#This Row],[ShowDesc?]]*TableQCalcMain[[#This Row],[Hardware]]</f>
        <v>0</v>
      </c>
      <c r="I49" s="61" t="str">
        <f>LEFT(WinRHIZO!D29,SEARCH(" cm",WinRHIZO!D29)+2)&amp;TextTrayWarranty</f>
        <v>Ensemble de 2 Moyens &amp; Larges plats                25x35, 30x40 cm Garantie 30 jours, à inspecter à la réception</v>
      </c>
      <c r="J49" s="61">
        <f t="shared" si="1"/>
        <v>847330</v>
      </c>
      <c r="K49" s="61" t="str">
        <f>""</f>
        <v/>
      </c>
      <c r="L49" s="61">
        <f>ROUND(
IF(Distributeurs_Rabais,IFERROR(WinRHIZO!#REF!,0),WinRHIZO!G29),
2)</f>
        <v>0</v>
      </c>
      <c r="M49" s="455" t="str">
        <f>IFERROR(
IF(TableQCalcMain[[#This Row],[Unit_Price]]*TableQCalcMain[[#This Row],[Real_Quantity]]&gt;0,
TableQCalcMain[[#This Row],[Unit_Price]]*TableQCalcMain[[#This Row],[Real_Quantity]],""),"")</f>
        <v/>
      </c>
      <c r="N49" s="72" t="str">
        <f>IF(TableQCalcMain[[#This Row],[RowNumOfShownItems_Unsplit]]&lt;&gt;"",INDEX(TableQCalcMain[Description],TableQCalcMain[[#This Row],[RowNumOfShownItems_Unsplit]]),"")</f>
        <v/>
      </c>
      <c r="O49" s="61" t="str">
        <f>IF(TableQCalcMain[[#This Row],[RowNumOfShownItems_Unsplit]]&lt;&gt;"",INDEX(TableQCalcMain[Harmonized_Code],TableQCalcMain[[#This Row],[RowNumOfShownItems_Unsplit]]),"")</f>
        <v/>
      </c>
      <c r="P49" s="61" t="str">
        <f>IF(TableQCalcMain[[#This Row],[RowNumOfShownItems_Unsplit]]="","",INDEX(TableQCalcMain[Detailed_Ext_Price],TableQCalcMain[[#This Row],[RowNumOfShownItems_Unsplit]]))</f>
        <v/>
      </c>
      <c r="Q49" s="61" t="str">
        <f>IF(TableQCalcMain[[#This Row],[RowNumOfShownItems_Unsplit]]="","",INDEX(TableQCalcMain[Real_Quantity],TableQCalcMain[[#This Row],[RowNumOfShownItems_Unsplit]]))</f>
        <v/>
      </c>
      <c r="R49" s="61" t="str">
        <f>IF(TableQCalcMain[[#This Row],[RowNumOfShownItems_Unsplit]]="","",
IF(IFERROR(
INDEX(TableQCalcMain[Unit_Price],TableQCalcMain[[#This Row],[RowNumOfShownItems_Unsplit]]),0)=0,"",
INDEX(TableQCalcMain[Unit_Price],TableQCalcMain[[#This Row],[RowNumOfShownItems_Unsplit]])
))</f>
        <v/>
      </c>
      <c r="S49" s="61" t="str">
        <f>IF(TableQCalcMain[[#This Row],[RowNumOfShownItems_Unsplit]]="","",
IF(IFERROR(
INDEX(TableQCalcMain[Extended_price],TableQCalcMain[[#This Row],[RowNumOfShownItems_Unsplit]]),0)=0,"",
INDEX(TableQCalcMain[Extended_price],TableQCalcMain[[#This Row],[RowNumOfShownItems_Unsplit]])
))</f>
        <v/>
      </c>
      <c r="T49" t="str">
        <f t="array" ref="T49">IFERROR(MATCH(0,COUNTIF(N$2:$N48,TableQCalcMain[Description])+IF(TableQCalcMain[ShowDesc?]=0,1,0),0),"")</f>
        <v/>
      </c>
      <c r="U49" s="472"/>
      <c r="V49" s="472"/>
      <c r="W49" s="472"/>
      <c r="X49" s="472"/>
      <c r="Y49" s="472"/>
      <c r="Z49" s="472"/>
      <c r="AA49" s="472"/>
      <c r="AB49" s="472"/>
      <c r="AC49" s="472"/>
      <c r="AD49" s="472"/>
      <c r="AE49" s="472"/>
      <c r="AF49" s="472"/>
      <c r="AG49" s="472"/>
      <c r="AH49" s="472"/>
    </row>
    <row r="50" spans="1:34" ht="15.5" customHeight="1" x14ac:dyDescent="0.2">
      <c r="A50" s="539"/>
      <c r="B50" s="61" t="s">
        <v>222</v>
      </c>
      <c r="C50" s="61" t="str">
        <f>IF(TableQCalcMain[[#This Row],[Unit_Price]]&gt;0,TableQCalcMain[[#This Row],[ShowDesc?]],"")</f>
        <v/>
      </c>
      <c r="D50" s="61">
        <f>IF(TableQCalcMain[[#This Row],[Unit_Price]]&gt;0,RHIZO_Option7-1,0)</f>
        <v>0</v>
      </c>
      <c r="E50" s="61"/>
      <c r="F50" s="61">
        <v>1</v>
      </c>
      <c r="G50" s="61">
        <f>TableQCalcMain[[#This Row],[ShowDesc?]]*TableQCalcMain[[#This Row],[Software]]</f>
        <v>0</v>
      </c>
      <c r="H50" s="61">
        <f>TableQCalcMain[[#This Row],[ShowDesc?]]*TableQCalcMain[[#This Row],[Hardware]]</f>
        <v>0</v>
      </c>
      <c r="I50" s="61" t="str">
        <f>LEFT(WinRHIZO!D30,SEARCH(" cm",WinRHIZO!D30)+2)&amp;TextTrayWarranty</f>
        <v>Ensemble de 3 Moyens &amp; Larges plats                20x30, 25x35, 30x40 cm Garantie 30 jours, à inspecter à la réception</v>
      </c>
      <c r="J50" s="61">
        <f t="shared" si="1"/>
        <v>847330</v>
      </c>
      <c r="K50" s="61" t="str">
        <f>""</f>
        <v/>
      </c>
      <c r="L50" s="61">
        <f>ROUND(
IF(Distributeurs_Rabais,IFERROR(WinRHIZO!#REF!,0),WinRHIZO!G30),
2)</f>
        <v>0</v>
      </c>
      <c r="M50" s="455" t="str">
        <f>IFERROR(
IF(TableQCalcMain[[#This Row],[Unit_Price]]*TableQCalcMain[[#This Row],[Real_Quantity]]&gt;0,
TableQCalcMain[[#This Row],[Unit_Price]]*TableQCalcMain[[#This Row],[Real_Quantity]],""),"")</f>
        <v/>
      </c>
      <c r="N50" s="72" t="str">
        <f>IF(TableQCalcMain[[#This Row],[RowNumOfShownItems_Unsplit]]&lt;&gt;"",INDEX(TableQCalcMain[Description],TableQCalcMain[[#This Row],[RowNumOfShownItems_Unsplit]]),"")</f>
        <v/>
      </c>
      <c r="O50" s="61" t="str">
        <f>IF(TableQCalcMain[[#This Row],[RowNumOfShownItems_Unsplit]]&lt;&gt;"",INDEX(TableQCalcMain[Harmonized_Code],TableQCalcMain[[#This Row],[RowNumOfShownItems_Unsplit]]),"")</f>
        <v/>
      </c>
      <c r="P50" s="61" t="str">
        <f>IF(TableQCalcMain[[#This Row],[RowNumOfShownItems_Unsplit]]="","",INDEX(TableQCalcMain[Detailed_Ext_Price],TableQCalcMain[[#This Row],[RowNumOfShownItems_Unsplit]]))</f>
        <v/>
      </c>
      <c r="Q50" s="61" t="str">
        <f>IF(TableQCalcMain[[#This Row],[RowNumOfShownItems_Unsplit]]="","",INDEX(TableQCalcMain[Real_Quantity],TableQCalcMain[[#This Row],[RowNumOfShownItems_Unsplit]]))</f>
        <v/>
      </c>
      <c r="R50" s="61" t="str">
        <f>IF(TableQCalcMain[[#This Row],[RowNumOfShownItems_Unsplit]]="","",
IF(IFERROR(
INDEX(TableQCalcMain[Unit_Price],TableQCalcMain[[#This Row],[RowNumOfShownItems_Unsplit]]),0)=0,"",
INDEX(TableQCalcMain[Unit_Price],TableQCalcMain[[#This Row],[RowNumOfShownItems_Unsplit]])
))</f>
        <v/>
      </c>
      <c r="S50" s="61" t="str">
        <f>IF(TableQCalcMain[[#This Row],[RowNumOfShownItems_Unsplit]]="","",
IF(IFERROR(
INDEX(TableQCalcMain[Extended_price],TableQCalcMain[[#This Row],[RowNumOfShownItems_Unsplit]]),0)=0,"",
INDEX(TableQCalcMain[Extended_price],TableQCalcMain[[#This Row],[RowNumOfShownItems_Unsplit]])
))</f>
        <v/>
      </c>
      <c r="T50" t="str">
        <f t="array" ref="T50">IFERROR(MATCH(0,COUNTIF(N$2:$N49,TableQCalcMain[Description])+IF(TableQCalcMain[ShowDesc?]=0,1,0),0),"")</f>
        <v/>
      </c>
      <c r="U50" s="472"/>
      <c r="V50" s="472"/>
      <c r="W50" s="472"/>
      <c r="X50" s="472"/>
      <c r="Y50" s="472"/>
      <c r="Z50" s="472"/>
      <c r="AA50" s="472"/>
      <c r="AB50" s="472"/>
      <c r="AC50" s="472"/>
      <c r="AD50" s="472"/>
      <c r="AE50" s="472"/>
      <c r="AF50" s="472"/>
      <c r="AG50" s="472"/>
      <c r="AH50" s="472"/>
    </row>
    <row r="51" spans="1:34" ht="15.5" customHeight="1" x14ac:dyDescent="0.2">
      <c r="A51" s="539"/>
      <c r="B51" s="61" t="s">
        <v>223</v>
      </c>
      <c r="C51" s="61" t="str">
        <f>IF(TableQCalcMain[[#This Row],[Unit_Price]]&gt;0,TableQCalcMain[[#This Row],[ShowDesc?]],"")</f>
        <v/>
      </c>
      <c r="D51" s="61">
        <f>IF(TableQCalcMain[[#This Row],[Unit_Price]]&gt;0,RHIZO_Option8-1,0)</f>
        <v>0</v>
      </c>
      <c r="E51" s="61"/>
      <c r="F51" s="61">
        <v>1</v>
      </c>
      <c r="G51" s="61">
        <f>TableQCalcMain[[#This Row],[ShowDesc?]]*TableQCalcMain[[#This Row],[Software]]</f>
        <v>0</v>
      </c>
      <c r="H51" s="61">
        <f>TableQCalcMain[[#This Row],[ShowDesc?]]*TableQCalcMain[[#This Row],[Hardware]]</f>
        <v>0</v>
      </c>
      <c r="I51" s="61" t="str">
        <f>LEFT(WinRHIZO!D31,SEARCH(" cm",WinRHIZO!D31)+2) &amp;TextTrayWarranty</f>
        <v>Ensemble 5 Petits Moyens Larges plats              10x15, 15x20, 20x30, 25x35, 30x40 cm Garantie 30 jours, à inspecter à la réception</v>
      </c>
      <c r="J51" s="61">
        <f t="shared" si="1"/>
        <v>847330</v>
      </c>
      <c r="K51" s="61" t="str">
        <f>""</f>
        <v/>
      </c>
      <c r="L51" s="61">
        <f>ROUND(
IF(Distributeurs_Rabais,IFERROR(WinRHIZO!#REF!,0),WinRHIZO!G31),
2)</f>
        <v>0</v>
      </c>
      <c r="M51" s="455" t="str">
        <f>IFERROR(
IF(TableQCalcMain[[#This Row],[Unit_Price]]*TableQCalcMain[[#This Row],[Real_Quantity]]&gt;0,
TableQCalcMain[[#This Row],[Unit_Price]]*TableQCalcMain[[#This Row],[Real_Quantity]],""),"")</f>
        <v/>
      </c>
      <c r="N51" s="72" t="str">
        <f>IF(TableQCalcMain[[#This Row],[RowNumOfShownItems_Unsplit]]&lt;&gt;"",INDEX(TableQCalcMain[Description],TableQCalcMain[[#This Row],[RowNumOfShownItems_Unsplit]]),"")</f>
        <v/>
      </c>
      <c r="O51" s="61" t="str">
        <f>IF(TableQCalcMain[[#This Row],[RowNumOfShownItems_Unsplit]]&lt;&gt;"",INDEX(TableQCalcMain[Harmonized_Code],TableQCalcMain[[#This Row],[RowNumOfShownItems_Unsplit]]),"")</f>
        <v/>
      </c>
      <c r="P51" s="61" t="str">
        <f>IF(TableQCalcMain[[#This Row],[RowNumOfShownItems_Unsplit]]="","",INDEX(TableQCalcMain[Detailed_Ext_Price],TableQCalcMain[[#This Row],[RowNumOfShownItems_Unsplit]]))</f>
        <v/>
      </c>
      <c r="Q51" s="61" t="str">
        <f>IF(TableQCalcMain[[#This Row],[RowNumOfShownItems_Unsplit]]="","",INDEX(TableQCalcMain[Real_Quantity],TableQCalcMain[[#This Row],[RowNumOfShownItems_Unsplit]]))</f>
        <v/>
      </c>
      <c r="R51" s="61" t="str">
        <f>IF(TableQCalcMain[[#This Row],[RowNumOfShownItems_Unsplit]]="","",
IF(IFERROR(
INDEX(TableQCalcMain[Unit_Price],TableQCalcMain[[#This Row],[RowNumOfShownItems_Unsplit]]),0)=0,"",
INDEX(TableQCalcMain[Unit_Price],TableQCalcMain[[#This Row],[RowNumOfShownItems_Unsplit]])
))</f>
        <v/>
      </c>
      <c r="S51" s="61" t="str">
        <f>IF(TableQCalcMain[[#This Row],[RowNumOfShownItems_Unsplit]]="","",
IF(IFERROR(
INDEX(TableQCalcMain[Extended_price],TableQCalcMain[[#This Row],[RowNumOfShownItems_Unsplit]]),0)=0,"",
INDEX(TableQCalcMain[Extended_price],TableQCalcMain[[#This Row],[RowNumOfShownItems_Unsplit]])
))</f>
        <v/>
      </c>
      <c r="T51" t="str">
        <f t="array" ref="T51">IFERROR(MATCH(0,COUNTIF(N$2:$N50,TableQCalcMain[Description])+IF(TableQCalcMain[ShowDesc?]=0,1,0),0),"")</f>
        <v/>
      </c>
      <c r="U51" s="472"/>
      <c r="V51" s="472"/>
      <c r="W51" s="472"/>
      <c r="X51" s="472"/>
      <c r="Y51" s="472"/>
      <c r="Z51" s="472"/>
      <c r="AA51" s="472"/>
      <c r="AB51" s="472"/>
      <c r="AC51" s="472"/>
      <c r="AD51" s="472"/>
      <c r="AE51" s="472"/>
      <c r="AF51" s="472"/>
      <c r="AG51" s="472"/>
      <c r="AH51" s="472"/>
    </row>
    <row r="52" spans="1:34" ht="17" x14ac:dyDescent="0.2">
      <c r="A52" s="539"/>
      <c r="B52" s="61" t="s">
        <v>224</v>
      </c>
      <c r="C52" s="61" t="str">
        <f>IF(TableQCalcMain[[#This Row],[Unit_Price]]&gt;0,TableQCalcMain[[#This Row],[ShowDesc?]],"")</f>
        <v/>
      </c>
      <c r="D52" s="61">
        <f>IF(TableQCalcMain[[#This Row],[Unit_Price]]&gt;0,RHIZO_Option9-1,0)</f>
        <v>0</v>
      </c>
      <c r="E52" s="61"/>
      <c r="F52" s="61">
        <v>1</v>
      </c>
      <c r="G52" s="61">
        <f>TableQCalcMain[[#This Row],[ShowDesc?]]*TableQCalcMain[[#This Row],[Software]]</f>
        <v>0</v>
      </c>
      <c r="H52" s="61">
        <f>TableQCalcMain[[#This Row],[ShowDesc?]]*TableQCalcMain[[#This Row],[Hardware]]</f>
        <v>0</v>
      </c>
      <c r="I52" s="61" t="str">
        <f>LEFT(WinRHIZO!D32,SEARCH(" cm",WinRHIZO!D32)+2)&amp;TextTrayWarranty</f>
        <v>Moyen plat individuel                                            20x30 cm Garantie 30 jours, à inspecter à la réception</v>
      </c>
      <c r="J52" s="61">
        <f t="shared" si="1"/>
        <v>847330</v>
      </c>
      <c r="K52" s="61" t="str">
        <f>""</f>
        <v/>
      </c>
      <c r="L52" s="61">
        <f>ROUND(
IF(Distributeurs_Rabais,IFERROR(WinRHIZO!#REF!,0),WinRHIZO!G32),
2)</f>
        <v>0</v>
      </c>
      <c r="M52" s="455" t="str">
        <f>IFERROR(
IF(TableQCalcMain[[#This Row],[Unit_Price]]*TableQCalcMain[[#This Row],[Real_Quantity]]&gt;0,
TableQCalcMain[[#This Row],[Unit_Price]]*TableQCalcMain[[#This Row],[Real_Quantity]],""),"")</f>
        <v/>
      </c>
      <c r="N52" s="72" t="str">
        <f>IF(TableQCalcMain[[#This Row],[RowNumOfShownItems_Unsplit]]&lt;&gt;"",INDEX(TableQCalcMain[Description],TableQCalcMain[[#This Row],[RowNumOfShownItems_Unsplit]]),"")</f>
        <v/>
      </c>
      <c r="O52" s="61" t="str">
        <f>IF(TableQCalcMain[[#This Row],[RowNumOfShownItems_Unsplit]]&lt;&gt;"",INDEX(TableQCalcMain[Harmonized_Code],TableQCalcMain[[#This Row],[RowNumOfShownItems_Unsplit]]),"")</f>
        <v/>
      </c>
      <c r="P52" s="61" t="str">
        <f>IF(TableQCalcMain[[#This Row],[RowNumOfShownItems_Unsplit]]="","",INDEX(TableQCalcMain[Detailed_Ext_Price],TableQCalcMain[[#This Row],[RowNumOfShownItems_Unsplit]]))</f>
        <v/>
      </c>
      <c r="Q52" s="61" t="str">
        <f>IF(TableQCalcMain[[#This Row],[RowNumOfShownItems_Unsplit]]="","",INDEX(TableQCalcMain[Real_Quantity],TableQCalcMain[[#This Row],[RowNumOfShownItems_Unsplit]]))</f>
        <v/>
      </c>
      <c r="R52" s="61" t="str">
        <f>IF(TableQCalcMain[[#This Row],[RowNumOfShownItems_Unsplit]]="","",
IF(IFERROR(
INDEX(TableQCalcMain[Unit_Price],TableQCalcMain[[#This Row],[RowNumOfShownItems_Unsplit]]),0)=0,"",
INDEX(TableQCalcMain[Unit_Price],TableQCalcMain[[#This Row],[RowNumOfShownItems_Unsplit]])
))</f>
        <v/>
      </c>
      <c r="S52" s="61" t="str">
        <f>IF(TableQCalcMain[[#This Row],[RowNumOfShownItems_Unsplit]]="","",
IF(IFERROR(
INDEX(TableQCalcMain[Extended_price],TableQCalcMain[[#This Row],[RowNumOfShownItems_Unsplit]]),0)=0,"",
INDEX(TableQCalcMain[Extended_price],TableQCalcMain[[#This Row],[RowNumOfShownItems_Unsplit]])
))</f>
        <v/>
      </c>
      <c r="T52" t="str">
        <f t="array" ref="T52">IFERROR(MATCH(0,COUNTIF(N$2:$N51,TableQCalcMain[Description])+IF(TableQCalcMain[ShowDesc?]=0,1,0),0),"")</f>
        <v/>
      </c>
      <c r="U52" s="472"/>
      <c r="V52" s="472"/>
      <c r="W52" s="472"/>
      <c r="X52" s="472"/>
      <c r="Y52" s="472"/>
      <c r="Z52" s="472"/>
      <c r="AA52" s="472"/>
      <c r="AB52" s="472"/>
      <c r="AC52" s="472"/>
      <c r="AD52" s="472"/>
      <c r="AE52" s="472"/>
      <c r="AF52" s="472"/>
      <c r="AG52" s="472"/>
      <c r="AH52" s="472"/>
    </row>
    <row r="53" spans="1:34" ht="17" x14ac:dyDescent="0.2">
      <c r="A53" s="539"/>
      <c r="B53" s="61" t="s">
        <v>225</v>
      </c>
      <c r="C53" s="61" t="str">
        <f>IF(TableQCalcMain[[#This Row],[Unit_Price]]&gt;0,TableQCalcMain[[#This Row],[ShowDesc?]],"")</f>
        <v/>
      </c>
      <c r="D53" s="61">
        <f>IF(TableQCalcMain[[#This Row],[Unit_Price]]&gt;0,RHIZO_Option10-1,0)</f>
        <v>0</v>
      </c>
      <c r="E53" s="61"/>
      <c r="F53" s="61">
        <v>1</v>
      </c>
      <c r="G53" s="61">
        <f>TableQCalcMain[[#This Row],[ShowDesc?]]*TableQCalcMain[[#This Row],[Software]]</f>
        <v>0</v>
      </c>
      <c r="H53" s="61">
        <f>TableQCalcMain[[#This Row],[ShowDesc?]]*TableQCalcMain[[#This Row],[Hardware]]</f>
        <v>0</v>
      </c>
      <c r="I53" s="61" t="str">
        <f>LEFT(WinRHIZO!D33,SEARCH(" cm",WinRHIZO!D33)+2)&amp;TextTrayWarranty</f>
        <v>Moyen plat individuel                                            25x35 cm Garantie 30 jours, à inspecter à la réception</v>
      </c>
      <c r="J53" s="61">
        <f t="shared" si="1"/>
        <v>847330</v>
      </c>
      <c r="K53" s="61" t="str">
        <f>""</f>
        <v/>
      </c>
      <c r="L53" s="61">
        <f>ROUND(
IF(Distributeurs_Rabais,IFERROR(WinRHIZO!#REF!,0),WinRHIZO!G33),
2)</f>
        <v>0</v>
      </c>
      <c r="M53" s="455" t="str">
        <f>IFERROR(
IF(TableQCalcMain[[#This Row],[Unit_Price]]*TableQCalcMain[[#This Row],[Real_Quantity]]&gt;0,
TableQCalcMain[[#This Row],[Unit_Price]]*TableQCalcMain[[#This Row],[Real_Quantity]],""),"")</f>
        <v/>
      </c>
      <c r="N53" s="72" t="str">
        <f>IF(TableQCalcMain[[#This Row],[RowNumOfShownItems_Unsplit]]&lt;&gt;"",INDEX(TableQCalcMain[Description],TableQCalcMain[[#This Row],[RowNumOfShownItems_Unsplit]]),"")</f>
        <v/>
      </c>
      <c r="O53" s="61" t="str">
        <f>IF(TableQCalcMain[[#This Row],[RowNumOfShownItems_Unsplit]]&lt;&gt;"",INDEX(TableQCalcMain[Harmonized_Code],TableQCalcMain[[#This Row],[RowNumOfShownItems_Unsplit]]),"")</f>
        <v/>
      </c>
      <c r="P53" s="61" t="str">
        <f>IF(TableQCalcMain[[#This Row],[RowNumOfShownItems_Unsplit]]="","",INDEX(TableQCalcMain[Detailed_Ext_Price],TableQCalcMain[[#This Row],[RowNumOfShownItems_Unsplit]]))</f>
        <v/>
      </c>
      <c r="Q53" s="61" t="str">
        <f>IF(TableQCalcMain[[#This Row],[RowNumOfShownItems_Unsplit]]="","",INDEX(TableQCalcMain[Real_Quantity],TableQCalcMain[[#This Row],[RowNumOfShownItems_Unsplit]]))</f>
        <v/>
      </c>
      <c r="R53" s="61" t="str">
        <f>IF(TableQCalcMain[[#This Row],[RowNumOfShownItems_Unsplit]]="","",
IF(IFERROR(
INDEX(TableQCalcMain[Unit_Price],TableQCalcMain[[#This Row],[RowNumOfShownItems_Unsplit]]),0)=0,"",
INDEX(TableQCalcMain[Unit_Price],TableQCalcMain[[#This Row],[RowNumOfShownItems_Unsplit]])
))</f>
        <v/>
      </c>
      <c r="S53" s="61" t="str">
        <f>IF(TableQCalcMain[[#This Row],[RowNumOfShownItems_Unsplit]]="","",
IF(IFERROR(
INDEX(TableQCalcMain[Extended_price],TableQCalcMain[[#This Row],[RowNumOfShownItems_Unsplit]]),0)=0,"",
INDEX(TableQCalcMain[Extended_price],TableQCalcMain[[#This Row],[RowNumOfShownItems_Unsplit]])
))</f>
        <v/>
      </c>
      <c r="T53" t="str">
        <f t="array" ref="T53">IFERROR(MATCH(0,COUNTIF(N$2:$N52,TableQCalcMain[Description])+IF(TableQCalcMain[ShowDesc?]=0,1,0),0),"")</f>
        <v/>
      </c>
      <c r="U53" s="472"/>
      <c r="V53" s="472"/>
      <c r="W53" s="472"/>
      <c r="X53" s="472"/>
      <c r="Y53" s="472"/>
      <c r="Z53" s="472"/>
      <c r="AA53" s="472"/>
      <c r="AB53" s="472"/>
      <c r="AC53" s="472"/>
      <c r="AD53" s="472"/>
      <c r="AE53" s="472"/>
      <c r="AF53" s="472"/>
      <c r="AG53" s="472"/>
      <c r="AH53" s="472"/>
    </row>
    <row r="54" spans="1:34" ht="17" x14ac:dyDescent="0.2">
      <c r="A54" s="539"/>
      <c r="B54" s="61" t="s">
        <v>226</v>
      </c>
      <c r="C54" s="61" t="str">
        <f>IF(TableQCalcMain[[#This Row],[Unit_Price]]&gt;0,TableQCalcMain[[#This Row],[ShowDesc?]],"")</f>
        <v/>
      </c>
      <c r="D54" s="61">
        <f>IF(TableQCalcMain[[#This Row],[Unit_Price]]&gt;0,RHIZO_Option11-1,0)</f>
        <v>0</v>
      </c>
      <c r="E54" s="61"/>
      <c r="F54" s="61">
        <v>1</v>
      </c>
      <c r="G54" s="61">
        <f>TableQCalcMain[[#This Row],[ShowDesc?]]*TableQCalcMain[[#This Row],[Software]]</f>
        <v>0</v>
      </c>
      <c r="H54" s="61">
        <f>TableQCalcMain[[#This Row],[ShowDesc?]]*TableQCalcMain[[#This Row],[Hardware]]</f>
        <v>0</v>
      </c>
      <c r="I54" s="61" t="str">
        <f>LEFT(WinRHIZO!D34,SEARCH(" cm",WinRHIZO!D34)+2)&amp;TextTrayWarranty</f>
        <v>Large plat individuel                                               30x40 cm Garantie 30 jours, à inspecter à la réception</v>
      </c>
      <c r="J54" s="61">
        <f t="shared" si="1"/>
        <v>847330</v>
      </c>
      <c r="K54" s="61" t="str">
        <f>""</f>
        <v/>
      </c>
      <c r="L54" s="61">
        <f>ROUND(
IF(Distributeurs_Rabais,IFERROR(WinRHIZO!#REF!,0),WinRHIZO!G34),
2)</f>
        <v>0</v>
      </c>
      <c r="M54" s="455" t="str">
        <f>IFERROR(
IF(TableQCalcMain[[#This Row],[Unit_Price]]*TableQCalcMain[[#This Row],[Real_Quantity]]&gt;0,
TableQCalcMain[[#This Row],[Unit_Price]]*TableQCalcMain[[#This Row],[Real_Quantity]],""),"")</f>
        <v/>
      </c>
      <c r="N54" s="72" t="str">
        <f>IF(TableQCalcMain[[#This Row],[RowNumOfShownItems_Unsplit]]&lt;&gt;"",INDEX(TableQCalcMain[Description],TableQCalcMain[[#This Row],[RowNumOfShownItems_Unsplit]]),"")</f>
        <v/>
      </c>
      <c r="O54" s="61" t="str">
        <f>IF(TableQCalcMain[[#This Row],[RowNumOfShownItems_Unsplit]]&lt;&gt;"",INDEX(TableQCalcMain[Harmonized_Code],TableQCalcMain[[#This Row],[RowNumOfShownItems_Unsplit]]),"")</f>
        <v/>
      </c>
      <c r="P54" s="61" t="str">
        <f>IF(TableQCalcMain[[#This Row],[RowNumOfShownItems_Unsplit]]="","",INDEX(TableQCalcMain[Detailed_Ext_Price],TableQCalcMain[[#This Row],[RowNumOfShownItems_Unsplit]]))</f>
        <v/>
      </c>
      <c r="Q54" s="61" t="str">
        <f>IF(TableQCalcMain[[#This Row],[RowNumOfShownItems_Unsplit]]="","",INDEX(TableQCalcMain[Real_Quantity],TableQCalcMain[[#This Row],[RowNumOfShownItems_Unsplit]]))</f>
        <v/>
      </c>
      <c r="R54" s="61" t="str">
        <f>IF(TableQCalcMain[[#This Row],[RowNumOfShownItems_Unsplit]]="","",
IF(IFERROR(
INDEX(TableQCalcMain[Unit_Price],TableQCalcMain[[#This Row],[RowNumOfShownItems_Unsplit]]),0)=0,"",
INDEX(TableQCalcMain[Unit_Price],TableQCalcMain[[#This Row],[RowNumOfShownItems_Unsplit]])
))</f>
        <v/>
      </c>
      <c r="S54" s="61" t="str">
        <f>IF(TableQCalcMain[[#This Row],[RowNumOfShownItems_Unsplit]]="","",
IF(IFERROR(
INDEX(TableQCalcMain[Extended_price],TableQCalcMain[[#This Row],[RowNumOfShownItems_Unsplit]]),0)=0,"",
INDEX(TableQCalcMain[Extended_price],TableQCalcMain[[#This Row],[RowNumOfShownItems_Unsplit]])
))</f>
        <v/>
      </c>
      <c r="T54" t="str">
        <f t="array" ref="T54">IFERROR(MATCH(0,COUNTIF(N$2:$N53,TableQCalcMain[Description])+IF(TableQCalcMain[ShowDesc?]=0,1,0),0),"")</f>
        <v/>
      </c>
      <c r="U54" s="472"/>
      <c r="V54" s="472"/>
      <c r="W54" s="472"/>
      <c r="X54" s="472"/>
      <c r="Y54" s="472"/>
      <c r="Z54" s="472"/>
      <c r="AA54" s="472"/>
      <c r="AB54" s="472"/>
      <c r="AC54" s="472"/>
      <c r="AD54" s="472"/>
      <c r="AE54" s="472"/>
      <c r="AF54" s="472"/>
      <c r="AG54" s="472"/>
      <c r="AH54" s="472"/>
    </row>
    <row r="55" spans="1:34" x14ac:dyDescent="0.2">
      <c r="A55" s="539"/>
      <c r="B55" s="61" t="s">
        <v>227</v>
      </c>
      <c r="C55" s="61"/>
      <c r="D55" s="61">
        <v>0</v>
      </c>
      <c r="E55" s="61"/>
      <c r="F55" s="61"/>
      <c r="G55" s="61">
        <f>TableQCalcMain[[#This Row],[ShowDesc?]]*TableQCalcMain[[#This Row],[Software]]</f>
        <v>0</v>
      </c>
      <c r="H55" s="61">
        <f>TableQCalcMain[[#This Row],[ShowDesc?]]*TableQCalcMain[[#This Row],[Hardware]]</f>
        <v>0</v>
      </c>
      <c r="I55" s="61" t="s">
        <v>239</v>
      </c>
      <c r="J55" s="61" t="str">
        <f>""</f>
        <v/>
      </c>
      <c r="K55" s="61" t="str">
        <f>""</f>
        <v/>
      </c>
      <c r="L55" s="61" t="str">
        <f>""</f>
        <v/>
      </c>
      <c r="M55" s="61" t="str">
        <f>""</f>
        <v/>
      </c>
      <c r="N55" s="72" t="str">
        <f>IF(TableQCalcMain[[#This Row],[RowNumOfShownItems_Unsplit]]&lt;&gt;"",INDEX(TableQCalcMain[Description],TableQCalcMain[[#This Row],[RowNumOfShownItems_Unsplit]]),"")</f>
        <v/>
      </c>
      <c r="O55" s="61" t="str">
        <f>IF(TableQCalcMain[[#This Row],[RowNumOfShownItems_Unsplit]]&lt;&gt;"",INDEX(TableQCalcMain[Harmonized_Code],TableQCalcMain[[#This Row],[RowNumOfShownItems_Unsplit]]),"")</f>
        <v/>
      </c>
      <c r="P55" s="61" t="str">
        <f>IF(TableQCalcMain[[#This Row],[RowNumOfShownItems_Unsplit]]="","",INDEX(TableQCalcMain[Detailed_Ext_Price],TableQCalcMain[[#This Row],[RowNumOfShownItems_Unsplit]]))</f>
        <v/>
      </c>
      <c r="Q55" s="61" t="str">
        <f>IF(TableQCalcMain[[#This Row],[RowNumOfShownItems_Unsplit]]="","",INDEX(TableQCalcMain[Real_Quantity],TableQCalcMain[[#This Row],[RowNumOfShownItems_Unsplit]]))</f>
        <v/>
      </c>
      <c r="R55" s="61" t="str">
        <f>IF(TableQCalcMain[[#This Row],[RowNumOfShownItems_Unsplit]]="","",
IF(IFERROR(
INDEX(TableQCalcMain[Unit_Price],TableQCalcMain[[#This Row],[RowNumOfShownItems_Unsplit]]),0)=0,"",
INDEX(TableQCalcMain[Unit_Price],TableQCalcMain[[#This Row],[RowNumOfShownItems_Unsplit]])
))</f>
        <v/>
      </c>
      <c r="S55" s="61" t="str">
        <f>IF(TableQCalcMain[[#This Row],[RowNumOfShownItems_Unsplit]]="","",
IF(IFERROR(
INDEX(TableQCalcMain[Extended_price],TableQCalcMain[[#This Row],[RowNumOfShownItems_Unsplit]]),0)=0,"",
INDEX(TableQCalcMain[Extended_price],TableQCalcMain[[#This Row],[RowNumOfShownItems_Unsplit]])
))</f>
        <v/>
      </c>
      <c r="T55" t="str">
        <f t="array" ref="T55">IFERROR(MATCH(0,COUNTIF(N$2:$N54,TableQCalcMain[Description])+IF(TableQCalcMain[ShowDesc?]=0,1,0),0),"")</f>
        <v/>
      </c>
      <c r="U55" s="472"/>
      <c r="V55" s="472"/>
      <c r="W55" s="472"/>
      <c r="X55" s="472"/>
      <c r="Y55" s="472"/>
      <c r="Z55" s="472"/>
      <c r="AA55" s="472"/>
      <c r="AB55" s="472"/>
      <c r="AC55" s="472"/>
      <c r="AD55" s="472"/>
      <c r="AE55" s="472"/>
      <c r="AF55" s="472"/>
      <c r="AG55" s="472"/>
      <c r="AH55" s="472"/>
    </row>
    <row r="56" spans="1:34" x14ac:dyDescent="0.2">
      <c r="B56" s="536" t="s">
        <v>108</v>
      </c>
      <c r="C56" s="536" t="str">
        <f>""</f>
        <v/>
      </c>
      <c r="D56" s="536">
        <f>SUM(D30:D55)</f>
        <v>0</v>
      </c>
      <c r="E56" s="536">
        <v>1</v>
      </c>
      <c r="F56" s="536">
        <v>1</v>
      </c>
      <c r="G56" s="536">
        <f>SUM(G30:G55)</f>
        <v>0</v>
      </c>
      <c r="H56" s="536">
        <f>SUM(H30:H55)</f>
        <v>0</v>
      </c>
      <c r="I56" s="536" t="str">
        <f>REPT(" ",2)</f>
        <v xml:space="preserve">  </v>
      </c>
      <c r="J56" s="536" t="str">
        <f>""</f>
        <v/>
      </c>
      <c r="K56" s="536" t="str">
        <f>""</f>
        <v/>
      </c>
      <c r="L56" s="536" t="str">
        <f>""</f>
        <v/>
      </c>
      <c r="M56" s="536" t="str">
        <f>""</f>
        <v/>
      </c>
      <c r="N56" s="72" t="str">
        <f>IF(TableQCalcMain[[#This Row],[RowNumOfShownItems_Unsplit]]&lt;&gt;"",INDEX(TableQCalcMain[Description],TableQCalcMain[[#This Row],[RowNumOfShownItems_Unsplit]]),"")</f>
        <v/>
      </c>
      <c r="O56" s="61" t="str">
        <f>IF(TableQCalcMain[[#This Row],[RowNumOfShownItems_Unsplit]]&lt;&gt;"",INDEX(TableQCalcMain[Harmonized_Code],TableQCalcMain[[#This Row],[RowNumOfShownItems_Unsplit]]),"")</f>
        <v/>
      </c>
      <c r="P56" s="61" t="str">
        <f>IF(TableQCalcMain[[#This Row],[RowNumOfShownItems_Unsplit]]="","",INDEX(TableQCalcMain[Detailed_Ext_Price],TableQCalcMain[[#This Row],[RowNumOfShownItems_Unsplit]]))</f>
        <v/>
      </c>
      <c r="Q56" s="61" t="str">
        <f>IF(TableQCalcMain[[#This Row],[RowNumOfShownItems_Unsplit]]="","",INDEX(TableQCalcMain[Real_Quantity],TableQCalcMain[[#This Row],[RowNumOfShownItems_Unsplit]]))</f>
        <v/>
      </c>
      <c r="R56" s="61" t="str">
        <f>IF(TableQCalcMain[[#This Row],[RowNumOfShownItems_Unsplit]]="","",
IF(IFERROR(
INDEX(TableQCalcMain[Unit_Price],TableQCalcMain[[#This Row],[RowNumOfShownItems_Unsplit]]),0)=0,"",
INDEX(TableQCalcMain[Unit_Price],TableQCalcMain[[#This Row],[RowNumOfShownItems_Unsplit]])
))</f>
        <v/>
      </c>
      <c r="S56" s="61" t="str">
        <f>IF(TableQCalcMain[[#This Row],[RowNumOfShownItems_Unsplit]]="","",
IF(IFERROR(
INDEX(TableQCalcMain[Extended_price],TableQCalcMain[[#This Row],[RowNumOfShownItems_Unsplit]]),0)=0,"",
INDEX(TableQCalcMain[Extended_price],TableQCalcMain[[#This Row],[RowNumOfShownItems_Unsplit]])
))</f>
        <v/>
      </c>
      <c r="T56" t="str">
        <f t="array" ref="T56">IFERROR(MATCH(0,COUNTIF(N$2:$N55,TableQCalcMain[Description])+IF(TableQCalcMain[ShowDesc?]=0,1,0),0),"")</f>
        <v/>
      </c>
      <c r="U56" s="472"/>
      <c r="V56" s="472"/>
      <c r="W56" s="472"/>
      <c r="X56" s="472"/>
      <c r="Y56" s="472"/>
      <c r="Z56" s="472"/>
      <c r="AA56" s="472"/>
      <c r="AB56" s="472"/>
      <c r="AC56" s="472"/>
      <c r="AD56" s="472"/>
      <c r="AE56" s="472"/>
      <c r="AF56" s="472"/>
      <c r="AG56" s="472"/>
      <c r="AH56" s="472"/>
    </row>
    <row r="57" spans="1:34" x14ac:dyDescent="0.2">
      <c r="A57" s="766"/>
      <c r="B57" s="61" t="s">
        <v>338</v>
      </c>
      <c r="C57" s="540">
        <f>RHIZOTRON_N_Software-1</f>
        <v>0</v>
      </c>
      <c r="D57" s="61">
        <f>TableQCalcMain[[#This Row],[Real_Quantity]]</f>
        <v>0</v>
      </c>
      <c r="E57" s="61">
        <v>1</v>
      </c>
      <c r="F57" s="61"/>
      <c r="G57" s="61">
        <f>N(TableQCalcMain[[#This Row],[ShowDesc?]])*TableQCalcMain[[#This Row],[Software]]</f>
        <v>0</v>
      </c>
      <c r="H57" s="61">
        <f>N(TableQCalcMain[[#This Row],[ShowDesc?]])*TableQCalcMain[[#This Row],[Hardware]]</f>
        <v>0</v>
      </c>
      <c r="I57" s="61" t="str">
        <f>LEFT(INDEX(RHIZOTRON_SoftwareFullNames,RHIZOTRON_IndexSoftware),FIND(" ",INDEX(RHIZOTRON_SoftwareFullNames,RHIZOTRON_IndexSoftware),FIND(" ",INDEX(RHIZOTRON_SoftwareFullNames,RHIZOTRON_IndexSoftware))+7))&amp;
RHIZOTRON_YearMostRecent &amp; " " &amp; "&amp;" &amp; " XLRhizo Tron" &amp;
IF(Francais," Logiciels"," Software")&amp; IF(QUOTE_Split_SoftwareHardware,IF(QUOTE_InternetDownload,IF(Francais, ", Téléchargement Internet", ", Internet download"),IF(Francais, ", Envoyé par transporteur", ", Shipped by courier")),IF(Francais," sur media USB (manuels PDF &amp; imprimés)"," on USB drive (PDF &amp; printed manuals)")) &amp;
IF(AND(QUOTE_SameClient=TRUE,RHIZOTRON_N_Software+RHIZOTRON_N_AlreadyHaveSoftware&gt;3),IF(Francais," (incl. rabais multi licenses"," (incl. multi licenses discount")&amp;
" "&amp;TEXT(ROUND((INDEX(RHIZOTRON_SoftwarePriceList,RHIZOTRON_IndexSoftware))*((RHIZOTRON_N_Software-1)-IF(RHIZOTRON_N_Software-1=0,0,SUM(MMULT(
  _xlfn.MUNIT(
   RHIZOTRON_N_Software-1),
    INDEX(TableLists[Column10],RHIZOTRON_N_AlreadyHaveSoftware-1+2):
    INDEX(TableLists[Column10],(RHIZOTRON_N_AlreadyHaveSoftware-1+1)+(RHIZOTRON_N_Software-1))
))))*(1-RebateSoftware*Distributeurs_Rabais),0),"0.00")&amp;")","")</f>
        <v>WinRHIZO Tron™ Reg 2025 &amp; XLRhizo Tron Logiciels sur media USB (manuels PDF &amp; imprimés)</v>
      </c>
      <c r="J57" s="61">
        <f>WinRHIZOTron!I4</f>
        <v>852349</v>
      </c>
      <c r="K57" s="61">
        <f>TableQCalcMain[[#This Row],[Extended_price]]</f>
        <v>0</v>
      </c>
      <c r="L57" s="61" t="str">
        <f>IF(OR(TableQCalcMain[[#This Row],[Real_Quantity]]=0,TableQCalcMain[[#This Row],[Extended_price]]=0),"",ROUND(TableQCalcMain[[#This Row],[Extended_price]]/TableQCalcMain[[#This Row],[Real_Quantity]],2))</f>
        <v/>
      </c>
      <c r="M57" s="61">
        <f>ROUND(
(INDEX(RHIZOTRON_SoftwarePriceList,RHIZOTRON_IndexSoftware))*
IF(RHIZOTRON_N_Software-1=0,0,SUM(MMULT(
  _xlfn.MUNIT(
   RHIZOTRON_N_Software-1),
    INDEX(TableLists[Column10],RHIZOTRON_N_AlreadyHaveSoftware-1+2):
    INDEX(TableLists[Column10],(RHIZOTRON_N_AlreadyHaveSoftware-1+1)+(RHIZOTRON_N_Software-1))
))
)*((1-RebateSoftware*Distributeurs_Rabais)),0)
-IF(QUOTE_Split_SoftwareHardware,PrixUSBKey*(RHIZOTRON_N_Software-1),0)</f>
        <v>0</v>
      </c>
      <c r="N57" s="72" t="str">
        <f>IF(TableQCalcMain[[#This Row],[RowNumOfShownItems_Unsplit]]&lt;&gt;"",INDEX(TableQCalcMain[Description],TableQCalcMain[[#This Row],[RowNumOfShownItems_Unsplit]]),"")</f>
        <v/>
      </c>
      <c r="O57" s="61" t="str">
        <f>IF(TableQCalcMain[[#This Row],[RowNumOfShownItems_Unsplit]]&lt;&gt;"",INDEX(TableQCalcMain[Harmonized_Code],TableQCalcMain[[#This Row],[RowNumOfShownItems_Unsplit]]),"")</f>
        <v/>
      </c>
      <c r="P57" s="61" t="str">
        <f>IF(TableQCalcMain[[#This Row],[RowNumOfShownItems_Unsplit]]="","",INDEX(TableQCalcMain[Detailed_Ext_Price],TableQCalcMain[[#This Row],[RowNumOfShownItems_Unsplit]]))</f>
        <v/>
      </c>
      <c r="Q57" s="61" t="str">
        <f>IF(TableQCalcMain[[#This Row],[RowNumOfShownItems_Unsplit]]="","",INDEX(TableQCalcMain[Real_Quantity],TableQCalcMain[[#This Row],[RowNumOfShownItems_Unsplit]]))</f>
        <v/>
      </c>
      <c r="R57" s="61" t="str">
        <f>IF(TableQCalcMain[[#This Row],[RowNumOfShownItems_Unsplit]]="","",
IF(IFERROR(
INDEX(TableQCalcMain[Unit_Price],TableQCalcMain[[#This Row],[RowNumOfShownItems_Unsplit]]),0)=0,"",
INDEX(TableQCalcMain[Unit_Price],TableQCalcMain[[#This Row],[RowNumOfShownItems_Unsplit]])
))</f>
        <v/>
      </c>
      <c r="S57" s="61" t="str">
        <f>IF(TableQCalcMain[[#This Row],[RowNumOfShownItems_Unsplit]]="","",
IF(IFERROR(
INDEX(TableQCalcMain[Extended_price],TableQCalcMain[[#This Row],[RowNumOfShownItems_Unsplit]]),0)=0,"",
INDEX(TableQCalcMain[Extended_price],TableQCalcMain[[#This Row],[RowNumOfShownItems_Unsplit]])
))</f>
        <v/>
      </c>
      <c r="T57" t="str">
        <f t="array" ref="T57">IFERROR(MATCH(0,COUNTIF(N$2:$N56,TableQCalcMain[Description])+IF(TableQCalcMain[ShowDesc?]=0,1,0),0),"")</f>
        <v/>
      </c>
      <c r="U57" s="472"/>
      <c r="V57" s="472"/>
      <c r="W57" s="472"/>
      <c r="X57" s="472"/>
      <c r="Y57" s="472"/>
      <c r="Z57" s="472"/>
      <c r="AA57" s="472"/>
      <c r="AB57" s="472"/>
      <c r="AC57" s="472"/>
      <c r="AD57" s="472"/>
      <c r="AE57" s="472"/>
      <c r="AF57" s="472"/>
      <c r="AG57" s="472"/>
      <c r="AH57" s="472"/>
    </row>
    <row r="58" spans="1:34" x14ac:dyDescent="0.2">
      <c r="A58" s="766"/>
      <c r="B58" s="569" t="s">
        <v>745</v>
      </c>
      <c r="C58" s="61"/>
      <c r="D58" s="61"/>
      <c r="E58" s="61"/>
      <c r="F58" s="61"/>
      <c r="G58" s="61"/>
      <c r="H58" s="61"/>
      <c r="I58" s="568" t="s">
        <v>750</v>
      </c>
      <c r="J58" s="61"/>
      <c r="K58" s="61"/>
      <c r="L58" s="61"/>
      <c r="M58" s="61"/>
      <c r="N58" s="72" t="str">
        <f>IF(TableQCalcMain[[#This Row],[RowNumOfShownItems_Unsplit]]&lt;&gt;"",INDEX(TableQCalcMain[Description],TableQCalcMain[[#This Row],[RowNumOfShownItems_Unsplit]]),"")</f>
        <v/>
      </c>
      <c r="O58" s="61" t="str">
        <f>IF(TableQCalcMain[[#This Row],[RowNumOfShownItems_Unsplit]]&lt;&gt;"",INDEX(TableQCalcMain[Harmonized_Code],TableQCalcMain[[#This Row],[RowNumOfShownItems_Unsplit]]),"")</f>
        <v/>
      </c>
      <c r="P58" s="61" t="str">
        <f>IF(TableQCalcMain[[#This Row],[RowNumOfShownItems_Unsplit]]="","",INDEX(TableQCalcMain[Detailed_Ext_Price],TableQCalcMain[[#This Row],[RowNumOfShownItems_Unsplit]]))</f>
        <v/>
      </c>
      <c r="Q58" s="61" t="str">
        <f>IF(TableQCalcMain[[#This Row],[RowNumOfShownItems_Unsplit]]="","",INDEX(TableQCalcMain[Real_Quantity],TableQCalcMain[[#This Row],[RowNumOfShownItems_Unsplit]]))</f>
        <v/>
      </c>
      <c r="R58" s="61" t="str">
        <f>IF(TableQCalcMain[[#This Row],[RowNumOfShownItems_Unsplit]]="","",
IF(IFERROR(
INDEX(TableQCalcMain[Unit_Price],TableQCalcMain[[#This Row],[RowNumOfShownItems_Unsplit]]),0)=0,"",
INDEX(TableQCalcMain[Unit_Price],TableQCalcMain[[#This Row],[RowNumOfShownItems_Unsplit]])
))</f>
        <v/>
      </c>
      <c r="S58" s="61" t="str">
        <f>IF(TableQCalcMain[[#This Row],[RowNumOfShownItems_Unsplit]]="","",
IF(IFERROR(
INDEX(TableQCalcMain[Extended_price],TableQCalcMain[[#This Row],[RowNumOfShownItems_Unsplit]]),0)=0,"",
INDEX(TableQCalcMain[Extended_price],TableQCalcMain[[#This Row],[RowNumOfShownItems_Unsplit]])
))</f>
        <v/>
      </c>
      <c r="T58" t="str">
        <f t="array" ref="T58">IFERROR(MATCH(0,COUNTIF(N$2:$N57,TableQCalcMain[Description])+IF(TableQCalcMain[ShowDesc?]=0,1,0),0),"")</f>
        <v/>
      </c>
      <c r="U58" s="472"/>
      <c r="V58" s="472"/>
      <c r="W58" s="472"/>
      <c r="X58" s="472"/>
      <c r="Y58" s="472"/>
      <c r="Z58" s="472"/>
      <c r="AA58" s="472"/>
      <c r="AB58" s="472"/>
      <c r="AC58" s="472"/>
      <c r="AD58" s="472"/>
      <c r="AE58" s="472"/>
      <c r="AF58" s="472"/>
      <c r="AG58" s="472"/>
      <c r="AH58" s="472"/>
    </row>
    <row r="59" spans="1:34" x14ac:dyDescent="0.2">
      <c r="A59" s="766"/>
      <c r="B59" s="470" t="s">
        <v>333</v>
      </c>
      <c r="C59" s="61" t="str">
        <f>""</f>
        <v/>
      </c>
      <c r="D59" s="61">
        <f>IF(QUOTE_Split_SoftwareHardware,N($C$57),0)</f>
        <v>0</v>
      </c>
      <c r="E59" s="61">
        <v>1</v>
      </c>
      <c r="F59" s="61"/>
      <c r="G59" s="61">
        <f>TableQCalcMain[[#This Row],[ShowDesc?]]*TableQCalcMain[[#This Row],[Software]]</f>
        <v>0</v>
      </c>
      <c r="H59" s="61"/>
      <c r="I59" s="61" t="str">
        <f>"         • " &amp; IF(AND(QUOTE_Split_SoftwareHardware,QUOTE_InternetDownload),
IF(Francais,"Logiciels et documents d'instructions (fichiers PDF)","Software &amp; Instructions documents (PDF files)"),
IF(Francais,"Logiciel et documents d'instructions (" &amp; IF(QUOTE_InternetDownload,"sur clé USB","PDF") &amp; " et imprimés)","Software &amp; Instructions documents (" &amp; IF(QUOTE_InternetDownload,"on USB Key","PDF") &amp; " &amp; printed)"))
&amp;REPT(" ",6)</f>
        <v xml:space="preserve">         • Logiciel et documents d'instructions (PDF et imprimés)      </v>
      </c>
      <c r="J59" s="61" t="str">
        <f>""</f>
        <v/>
      </c>
      <c r="K59" s="61" t="str">
        <f>""</f>
        <v/>
      </c>
      <c r="L59" s="61" t="str">
        <f>""</f>
        <v/>
      </c>
      <c r="M59" s="61" t="str">
        <f>""</f>
        <v/>
      </c>
      <c r="N59" s="72" t="str">
        <f>IF(TableQCalcMain[[#This Row],[RowNumOfShownItems_Unsplit]]&lt;&gt;"",INDEX(TableQCalcMain[Description],TableQCalcMain[[#This Row],[RowNumOfShownItems_Unsplit]]),"")</f>
        <v/>
      </c>
      <c r="O59" s="61" t="str">
        <f>IF(TableQCalcMain[[#This Row],[RowNumOfShownItems_Unsplit]]&lt;&gt;"",INDEX(TableQCalcMain[Harmonized_Code],TableQCalcMain[[#This Row],[RowNumOfShownItems_Unsplit]]),"")</f>
        <v/>
      </c>
      <c r="P59" s="61" t="str">
        <f>IF(TableQCalcMain[[#This Row],[RowNumOfShownItems_Unsplit]]="","",INDEX(TableQCalcMain[Detailed_Ext_Price],TableQCalcMain[[#This Row],[RowNumOfShownItems_Unsplit]]))</f>
        <v/>
      </c>
      <c r="Q59" s="61" t="str">
        <f>IF(TableQCalcMain[[#This Row],[RowNumOfShownItems_Unsplit]]="","",INDEX(TableQCalcMain[Real_Quantity],TableQCalcMain[[#This Row],[RowNumOfShownItems_Unsplit]]))</f>
        <v/>
      </c>
      <c r="R59" s="61" t="str">
        <f>IF(TableQCalcMain[[#This Row],[RowNumOfShownItems_Unsplit]]="","",
IF(IFERROR(
INDEX(TableQCalcMain[Unit_Price],TableQCalcMain[[#This Row],[RowNumOfShownItems_Unsplit]]),0)=0,"",
INDEX(TableQCalcMain[Unit_Price],TableQCalcMain[[#This Row],[RowNumOfShownItems_Unsplit]])
))</f>
        <v/>
      </c>
      <c r="S59" s="61" t="str">
        <f>IF(TableQCalcMain[[#This Row],[RowNumOfShownItems_Unsplit]]="","",
IF(IFERROR(
INDEX(TableQCalcMain[Extended_price],TableQCalcMain[[#This Row],[RowNumOfShownItems_Unsplit]]),0)=0,"",
INDEX(TableQCalcMain[Extended_price],TableQCalcMain[[#This Row],[RowNumOfShownItems_Unsplit]])
))</f>
        <v/>
      </c>
      <c r="T59" t="str">
        <f t="array" ref="T59">IFERROR(MATCH(0,COUNTIF(N$2:$N58,TableQCalcMain[Description])+IF(TableQCalcMain[ShowDesc?]=0,1,0),0),"")</f>
        <v/>
      </c>
      <c r="U59" s="472"/>
      <c r="V59" s="472"/>
      <c r="W59" s="472"/>
      <c r="X59" s="472"/>
      <c r="Y59" s="472"/>
      <c r="Z59" s="472"/>
      <c r="AA59" s="472"/>
      <c r="AB59" s="472"/>
      <c r="AC59" s="472"/>
      <c r="AD59" s="472"/>
      <c r="AE59" s="472"/>
      <c r="AF59" s="472"/>
      <c r="AG59" s="472"/>
      <c r="AH59" s="472"/>
    </row>
    <row r="60" spans="1:34" x14ac:dyDescent="0.2">
      <c r="A60" s="766"/>
      <c r="B60" s="61" t="s">
        <v>63</v>
      </c>
      <c r="C60" s="61">
        <f>RHIZOTRON_OptionXL*(RHIZOTRON_N_Software-1)</f>
        <v>0</v>
      </c>
      <c r="D60" s="61">
        <f>0*RHIZOTRON_OptionXL*(RHIZOTRON_N_Software-1)</f>
        <v>0</v>
      </c>
      <c r="E60" s="61">
        <v>1</v>
      </c>
      <c r="F60" s="61"/>
      <c r="G60" s="61">
        <f>TableQCalcMain[[#This Row],[ShowDesc?]]*TableQCalcMain[[#This Row],[Software]]</f>
        <v>0</v>
      </c>
      <c r="H60" s="61">
        <f>TableQCalcMain[[#This Row],[ShowDesc?]]*TableQCalcMain[[#This Row],[Hardware]]</f>
        <v>0</v>
      </c>
      <c r="I60" s="61" t="str">
        <f>IF(Francais,"XLRhizo Tron Logiciel pour l'Analyse des données de WinRHIZO Tron","XLRhizo Tron Software for WinRHIZO Tron's data Analysis")</f>
        <v>XLRhizo Tron Logiciel pour l'Analyse des données de WinRHIZO Tron</v>
      </c>
      <c r="J60" s="61" t="str">
        <f>""</f>
        <v/>
      </c>
      <c r="K60" s="61" t="s">
        <v>162</v>
      </c>
      <c r="L60" s="61" t="str">
        <f>""</f>
        <v/>
      </c>
      <c r="M60" s="61" t="str">
        <f>""</f>
        <v/>
      </c>
      <c r="N60" s="72" t="str">
        <f>IF(TableQCalcMain[[#This Row],[RowNumOfShownItems_Unsplit]]&lt;&gt;"",INDEX(TableQCalcMain[Description],TableQCalcMain[[#This Row],[RowNumOfShownItems_Unsplit]]),"")</f>
        <v/>
      </c>
      <c r="O60" s="61" t="str">
        <f>IF(TableQCalcMain[[#This Row],[RowNumOfShownItems_Unsplit]]&lt;&gt;"",INDEX(TableQCalcMain[Harmonized_Code],TableQCalcMain[[#This Row],[RowNumOfShownItems_Unsplit]]),"")</f>
        <v/>
      </c>
      <c r="P60" s="61" t="str">
        <f>IF(TableQCalcMain[[#This Row],[RowNumOfShownItems_Unsplit]]="","",INDEX(TableQCalcMain[Detailed_Ext_Price],TableQCalcMain[[#This Row],[RowNumOfShownItems_Unsplit]]))</f>
        <v/>
      </c>
      <c r="Q60" s="61" t="str">
        <f>IF(TableQCalcMain[[#This Row],[RowNumOfShownItems_Unsplit]]="","",INDEX(TableQCalcMain[Real_Quantity],TableQCalcMain[[#This Row],[RowNumOfShownItems_Unsplit]]))</f>
        <v/>
      </c>
      <c r="R60" s="61" t="str">
        <f>IF(TableQCalcMain[[#This Row],[RowNumOfShownItems_Unsplit]]="","",
IF(IFERROR(
INDEX(TableQCalcMain[Unit_Price],TableQCalcMain[[#This Row],[RowNumOfShownItems_Unsplit]]),0)=0,"",
INDEX(TableQCalcMain[Unit_Price],TableQCalcMain[[#This Row],[RowNumOfShownItems_Unsplit]])
))</f>
        <v/>
      </c>
      <c r="S60" s="61" t="str">
        <f>IF(TableQCalcMain[[#This Row],[RowNumOfShownItems_Unsplit]]="","",
IF(IFERROR(
INDEX(TableQCalcMain[Extended_price],TableQCalcMain[[#This Row],[RowNumOfShownItems_Unsplit]]),0)=0,"",
INDEX(TableQCalcMain[Extended_price],TableQCalcMain[[#This Row],[RowNumOfShownItems_Unsplit]])
))</f>
        <v/>
      </c>
      <c r="T60" t="str">
        <f t="array" ref="T60">IFERROR(MATCH(0,COUNTIF(N$2:$N59,TableQCalcMain[Description])+IF(TableQCalcMain[ShowDesc?]=0,1,0),0),"")</f>
        <v/>
      </c>
      <c r="U60" s="472"/>
      <c r="V60" s="472"/>
      <c r="W60" s="472"/>
      <c r="X60" s="472"/>
      <c r="Y60" s="472"/>
      <c r="Z60" s="472"/>
      <c r="AA60" s="472"/>
      <c r="AB60" s="472"/>
      <c r="AC60" s="472"/>
      <c r="AD60" s="472"/>
      <c r="AE60" s="472"/>
      <c r="AF60" s="472"/>
      <c r="AG60" s="472"/>
      <c r="AH60" s="472"/>
    </row>
    <row r="61" spans="1:34" x14ac:dyDescent="0.2">
      <c r="A61" s="766"/>
      <c r="B61" s="61" t="s">
        <v>337</v>
      </c>
      <c r="C61" s="61">
        <f>N($C$57)+N($C$62)</f>
        <v>0</v>
      </c>
      <c r="D61" s="764">
        <f>IF(AND(QUOTE_Split_SoftwareHardware,TableQCalcMain[[#This Row],[Real_Quantity]]&gt;0,NOT(AND(RHIZOTRON_ChkBox_UpgradeUpdate,RHIZOTRON_ChkB_RemoteUpdate))),1,0)</f>
        <v>0</v>
      </c>
      <c r="E61" s="61">
        <f>IF(QUOTE_InternetDownload,0,1)</f>
        <v>1</v>
      </c>
      <c r="F61" s="61">
        <f>IF(QUOTE_InternetDownload,1,0)</f>
        <v>0</v>
      </c>
      <c r="G61" s="61">
        <f>TableQCalcMain[[#This Row],[ShowDesc?]]*TableQCalcMain[[#This Row],[Software]]</f>
        <v>0</v>
      </c>
      <c r="H61" s="61">
        <f>TableQCalcMain[[#This Row],[ShowDesc?]]*TableQCalcMain[[#This Row],[Hardware]]</f>
        <v>0</v>
      </c>
      <c r="I61" s="61" t="str">
        <f xml:space="preserve">   SUBSTITUTE(
   IF(Francais,
"Clé USB pour WinSOFTWARE" &amp; IF(TableQCalcMain[[#This Row],[Hardware]]=1," et documents d'Instructions (expédiés par transporteur)",""),
"USB drive for WinSOFTWARE" &amp; IF(TableQCalcMain[[#This Row],[Hardware]]=1," and Instructions documents (shipped by courier)","")),
   "WinSOFTWARE","Win" &amp;  LEFT(TableQCalcMain[[#This Row],[Variable / Product ID]],FIND("_",TableQCalcMain[[#This Row],[Variable / Product ID]])-1) &amp; " " &amp; INDEX(RHIZOTRON_UpgradeNameShort,RHIZOTRON_IndexSoftware))</f>
        <v>Clé USB pour WinRHIZO Tron Reg</v>
      </c>
      <c r="J61" s="61">
        <v>852351</v>
      </c>
      <c r="K61" s="61">
        <f>TableQCalcMain[[#This Row],[Extended_price]]</f>
        <v>0</v>
      </c>
      <c r="L61" s="61" t="str">
        <f>IF(OR(TableQCalcMain[[#This Row],[Real_Quantity]]=0,TableQCalcMain[[#This Row],[Extended_price]]=0),"",ROUND(TableQCalcMain[[#This Row],[Extended_price]]/TableQCalcMain[[#This Row],[Real_Quantity]],2))</f>
        <v/>
      </c>
      <c r="M61" s="61">
        <f>PrixUSBKey*TableQCalcMain[[#This Row],[Real_Quantity]]</f>
        <v>0</v>
      </c>
      <c r="N61" s="72" t="str">
        <f>IF(TableQCalcMain[[#This Row],[RowNumOfShownItems_Unsplit]]&lt;&gt;"",INDEX(TableQCalcMain[Description],TableQCalcMain[[#This Row],[RowNumOfShownItems_Unsplit]]),"")</f>
        <v/>
      </c>
      <c r="O61" s="61" t="str">
        <f>IF(TableQCalcMain[[#This Row],[RowNumOfShownItems_Unsplit]]&lt;&gt;"",INDEX(TableQCalcMain[Harmonized_Code],TableQCalcMain[[#This Row],[RowNumOfShownItems_Unsplit]]),"")</f>
        <v/>
      </c>
      <c r="P61" s="61" t="str">
        <f>IF(TableQCalcMain[[#This Row],[RowNumOfShownItems_Unsplit]]="","",INDEX(TableQCalcMain[Detailed_Ext_Price],TableQCalcMain[[#This Row],[RowNumOfShownItems_Unsplit]]))</f>
        <v/>
      </c>
      <c r="Q61" s="61" t="str">
        <f>IF(TableQCalcMain[[#This Row],[RowNumOfShownItems_Unsplit]]="","",INDEX(TableQCalcMain[Real_Quantity],TableQCalcMain[[#This Row],[RowNumOfShownItems_Unsplit]]))</f>
        <v/>
      </c>
      <c r="R61" s="61" t="str">
        <f>IF(TableQCalcMain[[#This Row],[RowNumOfShownItems_Unsplit]]="","",
IF(IFERROR(
INDEX(TableQCalcMain[Unit_Price],TableQCalcMain[[#This Row],[RowNumOfShownItems_Unsplit]]),0)=0,"",
INDEX(TableQCalcMain[Unit_Price],TableQCalcMain[[#This Row],[RowNumOfShownItems_Unsplit]])
))</f>
        <v/>
      </c>
      <c r="S61" s="61" t="str">
        <f>IF(TableQCalcMain[[#This Row],[RowNumOfShownItems_Unsplit]]="","",
IF(IFERROR(
INDEX(TableQCalcMain[Extended_price],TableQCalcMain[[#This Row],[RowNumOfShownItems_Unsplit]]),0)=0,"",
INDEX(TableQCalcMain[Extended_price],TableQCalcMain[[#This Row],[RowNumOfShownItems_Unsplit]])
))</f>
        <v/>
      </c>
      <c r="T61" t="str">
        <f t="array" ref="T61">IFERROR(MATCH(0,COUNTIF(N$2:$N60,TableQCalcMain[Description])+IF(TableQCalcMain[ShowDesc?]=0,1,0),0),"")</f>
        <v/>
      </c>
      <c r="U61" s="472"/>
      <c r="V61" s="472"/>
      <c r="W61" s="472"/>
      <c r="X61" s="472"/>
      <c r="Y61" s="472"/>
      <c r="Z61" s="472"/>
      <c r="AA61" s="472"/>
      <c r="AB61" s="472"/>
      <c r="AC61" s="472"/>
      <c r="AD61" s="472"/>
      <c r="AE61" s="472"/>
      <c r="AF61" s="472"/>
      <c r="AG61" s="472"/>
      <c r="AH61" s="472"/>
    </row>
    <row r="62" spans="1:34" x14ac:dyDescent="0.2">
      <c r="A62" s="766"/>
      <c r="B62" s="469" t="s">
        <v>64</v>
      </c>
      <c r="C62" s="61">
        <f>RHIZOTRON_N_UpgradeUpdate-1</f>
        <v>0</v>
      </c>
      <c r="D62" s="61">
        <f>IFERROR(IF(OR(WinRHIZOTron!$G$5&gt;0,WinRHIZOTron!$G$6&gt;0),RHIZOTRON_N_UpgradeUpdate-1,0),0)</f>
        <v>0</v>
      </c>
      <c r="E62" s="61">
        <v>1</v>
      </c>
      <c r="F62" s="61"/>
      <c r="G62" s="61">
        <f>TableQCalcMain[[#This Row],[ShowDesc?]]*TableQCalcMain[[#This Row],[Software]]</f>
        <v>0</v>
      </c>
      <c r="H62" s="61">
        <f>TableQCalcMain[[#This Row],[ShowDesc?]]*TableQCalcMain[[#This Row],[Hardware]]</f>
        <v>0</v>
      </c>
      <c r="I62" s="469" t="str">
        <f>IF(Francais,"Mise à jour de ","Update from ") &amp;
INDEX(RHIZOTRON_SoftwareList,RHIZOTRON_IndexClientVersion) &amp; RHIZOTRON_YearClient &amp;
IF(Francais," à "," to ") &amp;
INDEX(RHIZOTRON_SoftwareList,RHIZOTRON_IndexSoftware) &amp; RHIZOTRON_YearMostRecent  &amp; " " &amp; "&amp;" &amp; " XLRhizo Tron"
&amp;
IF(QUOTE_Split_SoftwareHardware,IF(QUOTE_InternetDownload,IF(Francais, ", Téléchargement Internet", ", Internet download"),IF(Francais, ", Envoyé par transporteur", ", Shipped by courier")),IF(Francais," sur media USB (manuels PDF &amp; imprimés)"," on USB drive (PDF &amp; printed manuals)"))</f>
        <v>Mise à jour de WinRHIZO Tron™ Basic 2019 à WinRHIZO Tron™ Reg 2025 &amp; XLRhizo Tron sur media USB (manuels PDF &amp; imprimés)</v>
      </c>
      <c r="J62" s="61">
        <f>WinRHIZOTron!I4</f>
        <v>852349</v>
      </c>
      <c r="K62" s="61" t="str">
        <f>""</f>
        <v/>
      </c>
      <c r="L62" s="61" t="e">
        <f>ROUND(TableQCalcMain[[#This Row],[Extended_price]]/TableQCalcMain[[#This Row],[Real_Quantity]],2)</f>
        <v>#DIV/0!</v>
      </c>
      <c r="M62" s="764">
        <f>ROUND(IF(Distributeurs_Rabais,IFERROR(QCalc!G196,0),IFERROR(QCalc!F196,0))
-IF(AND(NOT(RHIZOTRON_ChkB_RemoteUpdate),QUOTE_Split_SoftwareHardware),PrixUSBKey*(RHIZOTRON_N_UpgradeUpdate-1),0),2)</f>
        <v>0</v>
      </c>
      <c r="N62" s="72" t="str">
        <f>IF(TableQCalcMain[[#This Row],[RowNumOfShownItems_Unsplit]]&lt;&gt;"",INDEX(TableQCalcMain[Description],TableQCalcMain[[#This Row],[RowNumOfShownItems_Unsplit]]),"")</f>
        <v/>
      </c>
      <c r="O62" s="61" t="str">
        <f>IF(TableQCalcMain[[#This Row],[RowNumOfShownItems_Unsplit]]&lt;&gt;"",INDEX(TableQCalcMain[Harmonized_Code],TableQCalcMain[[#This Row],[RowNumOfShownItems_Unsplit]]),"")</f>
        <v/>
      </c>
      <c r="P62" s="61" t="str">
        <f>IF(TableQCalcMain[[#This Row],[RowNumOfShownItems_Unsplit]]="","",INDEX(TableQCalcMain[Detailed_Ext_Price],TableQCalcMain[[#This Row],[RowNumOfShownItems_Unsplit]]))</f>
        <v/>
      </c>
      <c r="Q62" s="61" t="str">
        <f>IF(TableQCalcMain[[#This Row],[RowNumOfShownItems_Unsplit]]="","",INDEX(TableQCalcMain[Real_Quantity],TableQCalcMain[[#This Row],[RowNumOfShownItems_Unsplit]]))</f>
        <v/>
      </c>
      <c r="R62" s="61" t="str">
        <f>IF(TableQCalcMain[[#This Row],[RowNumOfShownItems_Unsplit]]="","",
IF(IFERROR(
INDEX(TableQCalcMain[Unit_Price],TableQCalcMain[[#This Row],[RowNumOfShownItems_Unsplit]]),0)=0,"",
INDEX(TableQCalcMain[Unit_Price],TableQCalcMain[[#This Row],[RowNumOfShownItems_Unsplit]])
))</f>
        <v/>
      </c>
      <c r="S62" s="61" t="str">
        <f>IF(TableQCalcMain[[#This Row],[RowNumOfShownItems_Unsplit]]="","",
IF(IFERROR(
INDEX(TableQCalcMain[Extended_price],TableQCalcMain[[#This Row],[RowNumOfShownItems_Unsplit]]),0)=0,"",
INDEX(TableQCalcMain[Extended_price],TableQCalcMain[[#This Row],[RowNumOfShownItems_Unsplit]])
))</f>
        <v/>
      </c>
      <c r="T62" t="str">
        <f t="array" ref="T62">IFERROR(MATCH(0,COUNTIF(N$2:$N61,TableQCalcMain[Description])+IF(TableQCalcMain[ShowDesc?]=0,1,0),0),"")</f>
        <v/>
      </c>
      <c r="U62" s="472"/>
      <c r="V62" s="472"/>
      <c r="W62" s="472"/>
      <c r="X62" s="472"/>
      <c r="Y62" s="472"/>
      <c r="Z62" s="472"/>
      <c r="AA62" s="472"/>
      <c r="AB62" s="472"/>
      <c r="AC62" s="472"/>
      <c r="AD62" s="472"/>
      <c r="AE62" s="472"/>
      <c r="AF62" s="472"/>
      <c r="AG62" s="472"/>
      <c r="AH62" s="472"/>
    </row>
    <row r="63" spans="1:34" x14ac:dyDescent="0.2">
      <c r="A63" s="766"/>
      <c r="B63" s="470" t="s">
        <v>333</v>
      </c>
      <c r="C63" s="61" t="str">
        <f>""</f>
        <v/>
      </c>
      <c r="D63" s="61">
        <f>IF(QUOTE_Split_SoftwareHardware,N($C$62),0)</f>
        <v>0</v>
      </c>
      <c r="E63" s="61">
        <v>1</v>
      </c>
      <c r="F63" s="61"/>
      <c r="G63" s="61">
        <f>TableQCalcMain[[#This Row],[ShowDesc?]]*TableQCalcMain[[#This Row],[Software]]</f>
        <v>0</v>
      </c>
      <c r="H63" s="61"/>
      <c r="I63" s="61" t="str">
        <f>"         • " &amp; IF(AND(QUOTE_Split_SoftwareHardware,QUOTE_InternetDownload),
IF(Francais,"Logiciels et documents d'instructions (fichiers PDF)","Software &amp; Instructions documents (PDF files)"),
IF(Francais,"Logiciel et documents d'instructions (" &amp; IF(QUOTE_InternetDownload,"sur clé USB","PDF") &amp; " et imprimés)","Software &amp; Instructions documents (" &amp; IF(QUOTE_InternetDownload,"on USB Key","PDF") &amp; " &amp; printed)"))
&amp;REPT(" ",7)</f>
        <v xml:space="preserve">         • Logiciel et documents d'instructions (PDF et imprimés)       </v>
      </c>
      <c r="J63" s="61" t="str">
        <f>""</f>
        <v/>
      </c>
      <c r="K63" s="61" t="str">
        <f>""</f>
        <v/>
      </c>
      <c r="L63" s="61" t="str">
        <f>""</f>
        <v/>
      </c>
      <c r="M63" s="61" t="str">
        <f>""</f>
        <v/>
      </c>
      <c r="N63" s="72" t="str">
        <f>IF(TableQCalcMain[[#This Row],[RowNumOfShownItems_Unsplit]]&lt;&gt;"",INDEX(TableQCalcMain[Description],TableQCalcMain[[#This Row],[RowNumOfShownItems_Unsplit]]),"")</f>
        <v/>
      </c>
      <c r="O63" s="61" t="str">
        <f>IF(TableQCalcMain[[#This Row],[RowNumOfShownItems_Unsplit]]&lt;&gt;"",INDEX(TableQCalcMain[Harmonized_Code],TableQCalcMain[[#This Row],[RowNumOfShownItems_Unsplit]]),"")</f>
        <v/>
      </c>
      <c r="P63" s="61" t="str">
        <f>IF(TableQCalcMain[[#This Row],[RowNumOfShownItems_Unsplit]]="","",INDEX(TableQCalcMain[Detailed_Ext_Price],TableQCalcMain[[#This Row],[RowNumOfShownItems_Unsplit]]))</f>
        <v/>
      </c>
      <c r="Q63" s="61" t="str">
        <f>IF(TableQCalcMain[[#This Row],[RowNumOfShownItems_Unsplit]]="","",INDEX(TableQCalcMain[Real_Quantity],TableQCalcMain[[#This Row],[RowNumOfShownItems_Unsplit]]))</f>
        <v/>
      </c>
      <c r="R63" s="61" t="str">
        <f>IF(TableQCalcMain[[#This Row],[RowNumOfShownItems_Unsplit]]="","",
IF(IFERROR(
INDEX(TableQCalcMain[Unit_Price],TableQCalcMain[[#This Row],[RowNumOfShownItems_Unsplit]]),0)=0,"",
INDEX(TableQCalcMain[Unit_Price],TableQCalcMain[[#This Row],[RowNumOfShownItems_Unsplit]])
))</f>
        <v/>
      </c>
      <c r="S63" s="61" t="str">
        <f>IF(TableQCalcMain[[#This Row],[RowNumOfShownItems_Unsplit]]="","",
IF(IFERROR(
INDEX(TableQCalcMain[Extended_price],TableQCalcMain[[#This Row],[RowNumOfShownItems_Unsplit]]),0)=0,"",
INDEX(TableQCalcMain[Extended_price],TableQCalcMain[[#This Row],[RowNumOfShownItems_Unsplit]])
))</f>
        <v/>
      </c>
      <c r="T63" t="str">
        <f t="array" ref="T63">IFERROR(MATCH(0,COUNTIF(N$2:$N62,TableQCalcMain[Description])+IF(TableQCalcMain[ShowDesc?]=0,1,0),0),"")</f>
        <v/>
      </c>
      <c r="U63" s="472"/>
      <c r="V63" s="472"/>
      <c r="W63" s="472"/>
      <c r="X63" s="472"/>
      <c r="Y63" s="472"/>
      <c r="Z63" s="472"/>
      <c r="AA63" s="472"/>
      <c r="AB63" s="472"/>
      <c r="AC63" s="472"/>
      <c r="AD63" s="472"/>
      <c r="AE63" s="472"/>
      <c r="AF63" s="472"/>
      <c r="AG63" s="472"/>
      <c r="AH63" s="472"/>
    </row>
    <row r="64" spans="1:34" x14ac:dyDescent="0.2">
      <c r="B64" s="536" t="s">
        <v>108</v>
      </c>
      <c r="C64" s="536" t="str">
        <f>""</f>
        <v/>
      </c>
      <c r="D64" s="536">
        <f>SUM(D57:D63)</f>
        <v>0</v>
      </c>
      <c r="E64" s="536">
        <v>1</v>
      </c>
      <c r="F64" s="536">
        <v>1</v>
      </c>
      <c r="G64" s="536">
        <f>SUM(G57:G63)</f>
        <v>0</v>
      </c>
      <c r="H64" s="536">
        <f>SUM(H57:H63)</f>
        <v>0</v>
      </c>
      <c r="I64" s="536" t="str">
        <f>REPT(" ",3)</f>
        <v xml:space="preserve">   </v>
      </c>
      <c r="J64" s="536" t="str">
        <f>""</f>
        <v/>
      </c>
      <c r="K64" s="536" t="str">
        <f>""</f>
        <v/>
      </c>
      <c r="L64" s="536" t="str">
        <f>""</f>
        <v/>
      </c>
      <c r="M64" s="536" t="str">
        <f>""</f>
        <v/>
      </c>
      <c r="N64" s="72" t="str">
        <f>IF(TableQCalcMain[[#This Row],[RowNumOfShownItems_Unsplit]]&lt;&gt;"",INDEX(TableQCalcMain[Description],TableQCalcMain[[#This Row],[RowNumOfShownItems_Unsplit]]),"")</f>
        <v/>
      </c>
      <c r="O64" s="61" t="str">
        <f>IF(TableQCalcMain[[#This Row],[RowNumOfShownItems_Unsplit]]&lt;&gt;"",INDEX(TableQCalcMain[Harmonized_Code],TableQCalcMain[[#This Row],[RowNumOfShownItems_Unsplit]]),"")</f>
        <v/>
      </c>
      <c r="P64" s="61" t="str">
        <f>IF(TableQCalcMain[[#This Row],[RowNumOfShownItems_Unsplit]]="","",INDEX(TableQCalcMain[Detailed_Ext_Price],TableQCalcMain[[#This Row],[RowNumOfShownItems_Unsplit]]))</f>
        <v/>
      </c>
      <c r="Q64" s="61" t="str">
        <f>IF(TableQCalcMain[[#This Row],[RowNumOfShownItems_Unsplit]]="","",INDEX(TableQCalcMain[Real_Quantity],TableQCalcMain[[#This Row],[RowNumOfShownItems_Unsplit]]))</f>
        <v/>
      </c>
      <c r="R64" s="61" t="str">
        <f>IF(TableQCalcMain[[#This Row],[RowNumOfShownItems_Unsplit]]="","",
IF(IFERROR(
INDEX(TableQCalcMain[Unit_Price],TableQCalcMain[[#This Row],[RowNumOfShownItems_Unsplit]]),0)=0,"",
INDEX(TableQCalcMain[Unit_Price],TableQCalcMain[[#This Row],[RowNumOfShownItems_Unsplit]])
))</f>
        <v/>
      </c>
      <c r="S64" s="61" t="str">
        <f>IF(TableQCalcMain[[#This Row],[RowNumOfShownItems_Unsplit]]="","",
IF(IFERROR(
INDEX(TableQCalcMain[Extended_price],TableQCalcMain[[#This Row],[RowNumOfShownItems_Unsplit]]),0)=0,"",
INDEX(TableQCalcMain[Extended_price],TableQCalcMain[[#This Row],[RowNumOfShownItems_Unsplit]])
))</f>
        <v/>
      </c>
      <c r="T64" t="str">
        <f t="array" ref="T64">IFERROR(MATCH(0,COUNTIF(N$2:$N63,TableQCalcMain[Description])+IF(TableQCalcMain[ShowDesc?]=0,1,0),0),"")</f>
        <v/>
      </c>
      <c r="U64" s="472"/>
      <c r="V64" s="472"/>
      <c r="W64" s="472"/>
      <c r="X64" s="472"/>
      <c r="Y64" s="472"/>
      <c r="Z64" s="472"/>
      <c r="AA64" s="472"/>
      <c r="AB64" s="472"/>
      <c r="AC64" s="472"/>
      <c r="AD64" s="472"/>
      <c r="AE64" s="472"/>
      <c r="AF64" s="472"/>
      <c r="AG64" s="472"/>
      <c r="AH64" s="472"/>
    </row>
    <row r="65" spans="1:34" x14ac:dyDescent="0.2">
      <c r="A65" s="767"/>
      <c r="B65" s="61" t="s">
        <v>65</v>
      </c>
      <c r="C65" s="61">
        <f>FOLIA_N_System-1</f>
        <v>0</v>
      </c>
      <c r="D65" s="61">
        <f>IF(IFERROR(WinFOLIA!H14+0,0)&gt;0,FOLIA_N_System-1,0)</f>
        <v>0</v>
      </c>
      <c r="E65" s="61">
        <v>1</v>
      </c>
      <c r="F65" s="61"/>
      <c r="G65" s="61">
        <v>0</v>
      </c>
      <c r="H65" s="61">
        <v>0</v>
      </c>
      <c r="I65" s="61" t="str">
        <f>QCalc!I198 &amp; IF(Francais," Incluant:"," Including:")&amp; REPT(" ",2)</f>
        <v xml:space="preserve">WinFOLIA™ Reg 2025 Logiciel Avec Scanner Incluant:  </v>
      </c>
      <c r="J65" s="61">
        <f>WinFOLIA!I14</f>
        <v>903149</v>
      </c>
      <c r="K65" s="61">
        <f>TableQCalcMain[[#This Row],[Extended_price]]</f>
        <v>0</v>
      </c>
      <c r="L65" s="61" t="str">
        <f>IF(OR(TableQCalcMain[[#This Row],[Real_Quantity]]=0,TableQCalcMain[[#This Row],[Extended_price]]=0),"",ROUND(TableQCalcMain[[#This Row],[Extended_price]]/TableQCalcMain[[#This Row],[Real_Quantity]],2))</f>
        <v/>
      </c>
      <c r="M65" s="713">
        <f>ROUND(
IF(Distributeurs_Rabais,
IFERROR(WinFOLIA!#REF! + WinFOLIA!#REF!,0),
WinFOLIA!H4 + WinFOLIA!H14)+0*K67,
2)</f>
        <v>0</v>
      </c>
      <c r="N65" s="471"/>
      <c r="O65" s="471"/>
      <c r="P65" s="471"/>
      <c r="Q65" s="471"/>
      <c r="R65" s="471"/>
      <c r="S65" s="471"/>
      <c r="T65" s="471"/>
      <c r="U65" s="472"/>
      <c r="V65" s="472"/>
      <c r="W65" s="472"/>
      <c r="X65" s="472"/>
      <c r="Y65" s="472"/>
      <c r="Z65" s="472"/>
      <c r="AA65" s="472"/>
      <c r="AB65" s="472"/>
      <c r="AC65" s="472"/>
      <c r="AD65" s="472"/>
      <c r="AE65" s="472"/>
      <c r="AF65" s="472"/>
      <c r="AG65" s="472"/>
      <c r="AH65" s="472"/>
    </row>
    <row r="66" spans="1:34" x14ac:dyDescent="0.2">
      <c r="A66" s="767"/>
      <c r="B66" s="546" t="s">
        <v>66</v>
      </c>
      <c r="C66" s="547">
        <f>IF(AND(NOT(QUOTE_Split_SoftwareHardware),N(D65)&gt;0),
IF(FOLIA_N_Software-1=0,0,FOLIA_N_Software-1),
FOLIA_N_Software-1)</f>
        <v>0</v>
      </c>
      <c r="D66" s="61">
        <f>TableQCalcMain[[#This Row],[Real_Quantity]]</f>
        <v>0</v>
      </c>
      <c r="E66" s="61">
        <v>1</v>
      </c>
      <c r="F66" s="61"/>
      <c r="G66" s="61">
        <f>N(TableQCalcMain[[#This Row],[ShowDesc?]])*TableQCalcMain[[#This Row],[Software]]</f>
        <v>0</v>
      </c>
      <c r="H66" s="61">
        <f>N(TableQCalcMain[[#This Row],[ShowDesc?]])*TableQCalcMain[[#This Row],[Hardware]]</f>
        <v>0</v>
      </c>
      <c r="I66" s="61" t="str">
        <f>IF(OR(FOLIA_N_System=1,QUOTE_Split_SoftwareHardware),"","   • ") &amp; SUBSTITUTE(LEFT(INDEX(FOLIA_SoftwareFullNames,FOLIA_IndexSoftware),FIND(" ",INDEX(FOLIA_SoftwareFullNames,FOLIA_IndexSoftware),FIND(" ",INDEX(FOLIA_SoftwareFullNames,FOLIA_IndexSoftware))+1)),"™",IF(OR(FOLIA_N_System=1,QUOTE_Split_SoftwareHardware),"™",""))&amp;
FOLIA_YearMostRecent &amp; " " &amp; "&amp;" &amp; " XLFolia" &amp;
IF(Francais," Logiciels"," Software")&amp; IF(QUOTE_Split_SoftwareHardware,IF(QUOTE_InternetDownload,IF(Francais, ", Téléchargement Internet", ", Internet download"),IF(Francais, ", Envoyé par transporteur", ", Shipped by courier")),IF(Francais," sur media USB (manuels PDF &amp; imprimés)"," on USB drive (PDF &amp; printed manuals)")) &amp;
IF(AND(QUOTE_SameClient=TRUE,FOLIA_N_Software+FOLIA_N_AlreadyHaveSoftware&gt;3),IF(Francais," (incl. rabais multi licenses"," (incl. multi licenses discount")&amp;
" "&amp;TEXT(ROUND((INDEX(FOLIA_SoftwarePriceList,FOLIA_IndexSoftware))*((FOLIA_N_Software-1)-IF(FOLIA_N_Software-1=0,0,SUM(MMULT(
  _xlfn.MUNIT(
   FOLIA_N_Software-1),
    INDEX(TableLists[Column10],FOLIA_N_AlreadyHaveSoftware-1+2):
    INDEX(TableLists[Column10],(FOLIA_N_AlreadyHaveSoftware-1+1)+(FOLIA_N_Software-1))
))))*(1-RebateSoftware*Distributeurs_Rabais),0),"0.00")&amp;")","")</f>
        <v>WinFOLIA™ Reg 2025 &amp; XLFolia Logiciels sur media USB (manuels PDF &amp; imprimés)</v>
      </c>
      <c r="J66" s="61">
        <f>IF(AND(FOLIA_N_System&gt;1,NOT(QUOTE_Split_SoftwareHardware)),
"",WinFOLIA!I4)</f>
        <v>852349</v>
      </c>
      <c r="K66" s="61">
        <f>ROUND((INDEX(FOLIA_SoftwarePriceList,FOLIA_IndexSoftware))*
IF(FOLIA_N_Software-1=0,0,SUM(MMULT(
  _xlfn.MUNIT(
   FOLIA_N_Software-1),
    INDEX(TableLists[Column10],FOLIA_N_AlreadyHaveSoftware-1+2):
    INDEX(TableLists[Column10],(FOLIA_N_AlreadyHaveSoftware-1+1)+(FOLIA_N_Software-1))
)))*(1-RebateSoftware*Distributeurs_Rabais)
-IF(QUOTE_Split_SoftwareHardware,PrixUSBKey*(FOLIA_N_Software-1),0),0)</f>
        <v>0</v>
      </c>
      <c r="L66" s="61" t="str">
        <f>IF(OR(TableQCalcMain[[#This Row],[Real_Quantity]]=0,TableQCalcMain[[#This Row],[Extended_price]]=0),"",ROUND(TableQCalcMain[[#This Row],[Extended_price]]/TableQCalcMain[[#This Row],[Real_Quantity]],2))</f>
        <v/>
      </c>
      <c r="M66" s="61">
        <f>ROUND(
IF(FOLIA_N_System&gt;1,
IF(NOT(QUOTE_Split_SoftwareHardware),0,TableQCalcMain[[#This Row],[Detailed_Ext_Price]]),
(INDEX(FOLIA_SoftwarePriceList,FOLIA_IndexSoftware))*
IF(FOLIA_N_Software-1=0,0,SUM(MMULT(
  _xlfn.MUNIT(
   FOLIA_N_Software-1),
    INDEX(TableLists[Column10],FOLIA_N_AlreadyHaveSoftware-1+2):
    INDEX(TableLists[Column10],(FOLIA_N_AlreadyHaveSoftware-1+1)+(FOLIA_N_Software-1))
))
)*(1-RebateSoftware*Distributeurs_Rabais)
-IF(QUOTE_Split_SoftwareHardware,PrixUSBKey*(FOLIA_N_Software-1),0)),0)</f>
        <v>0</v>
      </c>
      <c r="N66" s="471"/>
      <c r="O66" s="471"/>
      <c r="P66" s="471"/>
      <c r="Q66" s="471"/>
      <c r="R66" s="471"/>
      <c r="S66" s="471"/>
      <c r="T66" s="471"/>
      <c r="U66" s="472"/>
      <c r="V66" s="472"/>
      <c r="W66" s="472"/>
      <c r="X66" s="472"/>
      <c r="Y66" s="472"/>
      <c r="Z66" s="472"/>
      <c r="AA66" s="472"/>
      <c r="AB66" s="472"/>
      <c r="AC66" s="472"/>
      <c r="AD66" s="472"/>
      <c r="AE66" s="472"/>
      <c r="AF66" s="472"/>
      <c r="AG66" s="472"/>
      <c r="AH66" s="472"/>
    </row>
    <row r="67" spans="1:34" x14ac:dyDescent="0.2">
      <c r="A67" s="767"/>
      <c r="B67" s="565" t="s">
        <v>746</v>
      </c>
      <c r="C67" s="567" t="str">
        <f>""</f>
        <v/>
      </c>
      <c r="D67" s="567">
        <f>IF(AND(
C65&lt;&gt;0,C66=0,
NOT(QUOTE_Split_SoftwareHardware),
IFERROR(QCalc!$F$198,0)&gt;0
),C76,0)+N("Si il y a un système sans software (update only) et que facture est pas split, afficher UpgradeUpdate en tant que Software dans système")</f>
        <v>0</v>
      </c>
      <c r="E67" s="61"/>
      <c r="F67" s="61"/>
      <c r="G67" s="61"/>
      <c r="H67" s="61"/>
      <c r="I67" s="565" t="str">
        <f>"   • " &amp; I76</f>
        <v xml:space="preserve">   • Mise à jour de WinFOLIA™ Reg 2019 à WinFOLIA™ Reg 2025 &amp; XLFolia sur media USB (manuels PDF &amp; imprimés)</v>
      </c>
      <c r="J67" s="565">
        <f>J76</f>
        <v>852349</v>
      </c>
      <c r="K67" s="565">
        <f>IF(TableQCalcMain[[#This Row],[ShowDesc?]]=0,0,M76)</f>
        <v>0</v>
      </c>
      <c r="L67" s="61"/>
      <c r="M67" s="61"/>
      <c r="N67" s="471"/>
      <c r="O67" s="471"/>
      <c r="P67" s="471"/>
      <c r="Q67" s="471"/>
      <c r="R67" s="471"/>
      <c r="S67" s="471"/>
      <c r="T67" s="471"/>
      <c r="U67" s="472"/>
      <c r="V67" s="472"/>
      <c r="W67" s="472"/>
      <c r="X67" s="472"/>
      <c r="Y67" s="472"/>
      <c r="Z67" s="472"/>
      <c r="AA67" s="472"/>
      <c r="AB67" s="472"/>
      <c r="AC67" s="472"/>
      <c r="AD67" s="472"/>
      <c r="AE67" s="472"/>
      <c r="AF67" s="472"/>
      <c r="AG67" s="472"/>
      <c r="AH67" s="472"/>
    </row>
    <row r="68" spans="1:34" x14ac:dyDescent="0.2">
      <c r="A68" s="767"/>
      <c r="B68" s="470" t="s">
        <v>330</v>
      </c>
      <c r="C68" s="61" t="str">
        <f>""</f>
        <v/>
      </c>
      <c r="D68" s="61">
        <f>IF(QUOTE_Split_SoftwareHardware,N($C$66),0)</f>
        <v>0</v>
      </c>
      <c r="E68" s="61">
        <v>1</v>
      </c>
      <c r="F68" s="61"/>
      <c r="G68" s="61">
        <f>TableQCalcMain[[#This Row],[ShowDesc?]]*TableQCalcMain[[#This Row],[Software]]</f>
        <v>0</v>
      </c>
      <c r="H68" s="61"/>
      <c r="I68" s="61" t="str">
        <f>"         • " &amp; IF(AND(QUOTE_Split_SoftwareHardware,QUOTE_InternetDownload),
IF(Francais,"Logiciels et documents d'instructions (fichiers PDF)","Software &amp; Instructions documents (PDF files)"),
IF(Francais,"Logiciel et documents d'instructions (" &amp; IF(QUOTE_InternetDownload,"sur clé USB","PDF") &amp; " et imprimés)","Software &amp; Instructions documents (" &amp; IF(QUOTE_InternetDownload,"on USB Key","PDF") &amp; " &amp; printed)"))
&amp;REPT(" ",8)</f>
        <v xml:space="preserve">         • Logiciel et documents d'instructions (PDF et imprimés)        </v>
      </c>
      <c r="J68" s="61" t="str">
        <f>""</f>
        <v/>
      </c>
      <c r="K68" s="61" t="str">
        <f>""</f>
        <v/>
      </c>
      <c r="L68" s="61" t="str">
        <f>""</f>
        <v/>
      </c>
      <c r="M68" s="61" t="str">
        <f>""</f>
        <v/>
      </c>
      <c r="N68" s="471"/>
      <c r="O68" s="471"/>
      <c r="P68" s="471"/>
      <c r="Q68" s="471"/>
      <c r="R68" s="471"/>
      <c r="S68" s="471"/>
      <c r="T68" s="471"/>
      <c r="U68" s="472"/>
      <c r="V68" s="472"/>
      <c r="W68" s="472"/>
      <c r="X68" s="472"/>
      <c r="Y68" s="472"/>
      <c r="Z68" s="472"/>
      <c r="AA68" s="472"/>
      <c r="AB68" s="472"/>
      <c r="AC68" s="472"/>
      <c r="AD68" s="472"/>
      <c r="AE68" s="472"/>
      <c r="AF68" s="472"/>
      <c r="AG68" s="472"/>
      <c r="AH68" s="472"/>
    </row>
    <row r="69" spans="1:34" x14ac:dyDescent="0.2">
      <c r="A69" s="767"/>
      <c r="B69" s="61" t="s">
        <v>67</v>
      </c>
      <c r="C69" s="61">
        <f>FOLIA_OptionXL*(FOLIA_N_Software-1)</f>
        <v>0</v>
      </c>
      <c r="D69" s="61">
        <f>0*FOLIA_OptionXL*(FOLIA_N_Software-1)</f>
        <v>0</v>
      </c>
      <c r="E69" s="61">
        <v>1</v>
      </c>
      <c r="F69" s="61"/>
      <c r="G69" s="61">
        <f>TableQCalcMain[[#This Row],[ShowDesc?]]*TableQCalcMain[[#This Row],[Software]]</f>
        <v>0</v>
      </c>
      <c r="H69" s="61">
        <f>TableQCalcMain[[#This Row],[ShowDesc?]]*TableQCalcMain[[#This Row],[Hardware]]</f>
        <v>0</v>
      </c>
      <c r="I69" s="61" t="str">
        <f>IF(FOLIA_N_System=1,"","   • ")&amp;IF(Francais,"XLFolia Logiciel pour l'Analyse des données de WinFOLIA","XLFolia Software for WinFOLIA's data Analysis")</f>
        <v>XLFolia Logiciel pour l'Analyse des données de WinFOLIA</v>
      </c>
      <c r="J69" s="61" t="str">
        <f>""</f>
        <v/>
      </c>
      <c r="K69" s="61" t="s">
        <v>162</v>
      </c>
      <c r="L69" s="61" t="str">
        <f>""</f>
        <v/>
      </c>
      <c r="M69" s="61" t="str">
        <f>""</f>
        <v/>
      </c>
      <c r="N69" s="471"/>
      <c r="O69" s="471"/>
      <c r="P69" s="471"/>
      <c r="Q69" s="471"/>
      <c r="R69" s="471"/>
      <c r="S69" s="471"/>
      <c r="T69" s="471"/>
      <c r="U69" s="472"/>
      <c r="V69" s="472"/>
      <c r="W69" s="472"/>
      <c r="X69" s="472"/>
      <c r="Y69" s="472"/>
      <c r="Z69" s="472"/>
      <c r="AA69" s="472"/>
      <c r="AB69" s="472"/>
      <c r="AC69" s="472"/>
      <c r="AD69" s="472"/>
      <c r="AE69" s="472"/>
      <c r="AF69" s="472"/>
      <c r="AG69" s="472"/>
      <c r="AH69" s="472"/>
    </row>
    <row r="70" spans="1:34" x14ac:dyDescent="0.2">
      <c r="A70" s="767"/>
      <c r="B70" s="61" t="s">
        <v>323</v>
      </c>
      <c r="C70" s="61">
        <f>N($C$66)+N($C$76)</f>
        <v>0</v>
      </c>
      <c r="D70" s="764">
        <f>IF(AND(QUOTE_Split_SoftwareHardware,TableQCalcMain[[#This Row],[Real_Quantity]]&gt;0,NOT(AND(FOLIA_ChkBox_UpgradeUpdate,FOLIA_ChkB_RemoteUpdate))),1,0)</f>
        <v>0</v>
      </c>
      <c r="E70" s="61">
        <f>IF(QUOTE_InternetDownload,0,1)</f>
        <v>1</v>
      </c>
      <c r="F70" s="61">
        <f>IF(QUOTE_InternetDownload,1,0)</f>
        <v>0</v>
      </c>
      <c r="G70" s="61">
        <f>TableQCalcMain[[#This Row],[ShowDesc?]]*TableQCalcMain[[#This Row],[Software]]</f>
        <v>0</v>
      </c>
      <c r="H70" s="61">
        <f>TableQCalcMain[[#This Row],[ShowDesc?]]*TableQCalcMain[[#This Row],[Hardware]]</f>
        <v>0</v>
      </c>
      <c r="I70" s="61" t="str">
        <f xml:space="preserve">   SUBSTITUTE(
   IF(Francais,
"Clé USB pour WinSOFTWARE" &amp; IF(TableQCalcMain[[#This Row],[Hardware]]=1," et documents d'Instructions (expédiés par transporteur)",""),
"USB drive for WinSOFTWARE" &amp; IF(TableQCalcMain[[#This Row],[Hardware]]=1," and Instructions documents (shipped by courier)","")),
   "WinSOFTWARE","Win" &amp;  LEFT(TableQCalcMain[[#This Row],[Variable / Product ID]],FIND("_",TableQCalcMain[[#This Row],[Variable / Product ID]])-1) &amp; " " &amp; INDEX(FOLIA_UpgradeNameShort,FOLIA_IndexSoftware))</f>
        <v>Clé USB pour WinFOLIA Reg</v>
      </c>
      <c r="J70" s="61">
        <v>852351</v>
      </c>
      <c r="K70" s="61">
        <f>TableQCalcMain[[#This Row],[Extended_price]]</f>
        <v>0</v>
      </c>
      <c r="L70" s="61" t="str">
        <f>IF(OR(TableQCalcMain[[#This Row],[Real_Quantity]]=0,TableQCalcMain[[#This Row],[Extended_price]]=0),"",ROUND(TableQCalcMain[[#This Row],[Extended_price]]/TableQCalcMain[[#This Row],[Real_Quantity]],2))</f>
        <v/>
      </c>
      <c r="M70" s="61">
        <f>PrixUSBKey*TableQCalcMain[[#This Row],[Real_Quantity]]</f>
        <v>0</v>
      </c>
      <c r="N70" s="471"/>
      <c r="O70" s="471"/>
      <c r="P70" s="471"/>
      <c r="Q70" s="471"/>
      <c r="R70" s="471"/>
      <c r="S70" s="471"/>
      <c r="T70" s="471"/>
      <c r="U70" s="472"/>
      <c r="V70" s="472"/>
      <c r="W70" s="472"/>
      <c r="X70" s="472"/>
      <c r="Y70" s="472"/>
      <c r="Z70" s="472"/>
      <c r="AA70" s="472"/>
      <c r="AB70" s="472"/>
      <c r="AC70" s="472"/>
      <c r="AD70" s="472"/>
      <c r="AE70" s="472"/>
      <c r="AF70" s="472"/>
      <c r="AG70" s="472"/>
      <c r="AH70" s="472"/>
    </row>
    <row r="71" spans="1:34" x14ac:dyDescent="0.2">
      <c r="A71" s="767"/>
      <c r="B71" s="61" t="s">
        <v>94</v>
      </c>
      <c r="C71" s="61" t="str">
        <f>IF(NOT(QUOTE_Split_SoftwareHardware),"",C65)</f>
        <v/>
      </c>
      <c r="D71" s="61">
        <f>IF(FOLIA_ClientWithOrWithoutScanner=1,$D$65,0)</f>
        <v>0</v>
      </c>
      <c r="E71" s="61"/>
      <c r="F71" s="61">
        <v>1</v>
      </c>
      <c r="G71" s="61">
        <f>TableQCalcMain[[#This Row],[ShowDesc?]]*TableQCalcMain[[#This Row],[Software]]</f>
        <v>0</v>
      </c>
      <c r="H71" s="61">
        <f>TableQCalcMain[[#This Row],[ShowDesc?]]*TableQCalcMain[[#This Row],[Hardware]]</f>
        <v>0</v>
      </c>
      <c r="I71" s="61" t="str">
        <f>IF(OR(FOLIA_N_System=1,QUOTE_Split_SoftwareHardware),"","   • ")&amp;IF(OR(FOLIA_IndexScanner=1,FOLIA_IndexScanner=2),
IF(FOLIA_IndexScanner=1,
IF(Francais," Scanner STD4800: 4800 ppp, Surface de Scan 22x30cm (20x25cm avec LS)"," STD4800 Scanner: 4800 dpi, Scan Area 22x30cm (20x25cm with SL)"),
IF(Francais," Scanner LA2400: 2400 ppp, Surface de Scan 31x44cm (31x42cm avec LS)"," LA2400 Scanner: 2400 dpi, Scan Area 31x44cm (31x42cm with SL)"))&amp;REPT(" ",10)&amp;"S/N:"&amp;FOLIA_Serial&amp;REPT(" ",2),
IF(FOLIA_IndexScanner=3,
IF(Francais," Scanner LC4800P: 4800 ppp, Surface de Scan 22x28cm"," LC4800P Scanner: 4800 dpi, Scan Area 22x28cm"))&amp;REPT(" ",10)&amp;"S/N:"&amp;FOLIA_Serial&amp;REPT(" ",2))</f>
        <v xml:space="preserve"> Scanner STD4800: 4800 ppp, Surface de Scan 22x30cm (20x25cm avec LS)          S/N:  </v>
      </c>
      <c r="J71" s="61" t="str">
        <f>IF(QUOTE_Split_SoftwareHardware,ScannerHCode,"")</f>
        <v/>
      </c>
      <c r="K71" s="61">
        <f>IF(FOLIA_ClientWithOrWithoutScanner=1,
   IF(Distributeurs_Rabais,
      IF(FOLIA_IndexScanner=1,PrixSTD_Dist,IF(FOLIA_IndexScanner=2,PrixLA_Dist,PrixLC_Dist)),
      IF(FOLIA_IndexScanner=1,PrixSTD,          IF(FOLIA_IndexScanner=2,PrixLA,          PrixLC))
    ),
0)
*(FOLIA_N_System-1) -K74</f>
        <v>0</v>
      </c>
      <c r="L71" s="61">
        <f>IF(C65=0,0,ROUND(TableQCalcMain[[#This Row],[Extended_price]]/C65,2))</f>
        <v>0</v>
      </c>
      <c r="M71" s="61">
        <f>IF(NOT(QUOTE_Split_SoftwareHardware),0,TableQCalcMain[[#This Row],[Detailed_Ext_Price]]+N(K72)+K73)</f>
        <v>0</v>
      </c>
      <c r="N71" s="471"/>
      <c r="O71" s="471"/>
      <c r="P71" s="471"/>
      <c r="Q71" s="471"/>
      <c r="R71" s="471"/>
      <c r="S71" s="471"/>
      <c r="T71" s="471"/>
      <c r="U71" s="472"/>
      <c r="V71" s="472"/>
      <c r="W71" s="472"/>
      <c r="X71" s="472"/>
      <c r="Y71" s="472"/>
      <c r="Z71" s="472"/>
      <c r="AA71" s="472"/>
      <c r="AB71" s="472"/>
      <c r="AC71" s="472"/>
      <c r="AD71" s="472"/>
      <c r="AE71" s="472"/>
      <c r="AF71" s="472"/>
      <c r="AG71" s="472"/>
      <c r="AH71" s="472"/>
    </row>
    <row r="72" spans="1:34" ht="17" x14ac:dyDescent="0.2">
      <c r="A72" s="767"/>
      <c r="B72" s="61" t="s">
        <v>95</v>
      </c>
      <c r="C72" s="455" t="str">
        <f>IF(AND(FOLIA_ClientWithOrWithoutScanner=1,FOLIA_IndexScanner=2),D72,"")</f>
        <v/>
      </c>
      <c r="D72" s="61">
        <f>IF(AND(WinFOLIA!G22&gt;0,D65&gt;0),FOLIA_OptionTPU-1,IF(AND(FOLIA_ClientWithOrWithoutScanner=1,FOLIA_IndexScanner=1),D65,0))</f>
        <v>0</v>
      </c>
      <c r="E72" s="61"/>
      <c r="F72" s="61">
        <v>1</v>
      </c>
      <c r="G72" s="61">
        <f>TableQCalcMain[[#This Row],[ShowDesc?]]*TableQCalcMain[[#This Row],[Software]]</f>
        <v>0</v>
      </c>
      <c r="H72" s="61">
        <f>TableQCalcMain[[#This Row],[ShowDesc?]]*TableQCalcMain[[#This Row],[Hardware]]</f>
        <v>0</v>
      </c>
      <c r="I72" s="61" t="str">
        <f>"         " &amp; WinFOLIA!E22 &amp; REPT(" ",1) &amp;REPT(" ",15) &amp; "S/N:" &amp;FOLIA_SerialTPU</f>
        <v xml:space="preserve">         • Lumière spéciale (LS) pour scanner Feuilles, Racines, Graines ou Aiguilles                S/N:</v>
      </c>
      <c r="J72" s="61" t="str">
        <f>""</f>
        <v/>
      </c>
      <c r="K72" s="473" t="str">
        <f>IF(FOLIA_IndexScanner=1,
"incl.",
IF(Distributeurs_Rabais,PrixTPU_Dist,PrixTPU)*(FOLIA_OptionTPU-1)
)</f>
        <v>incl.</v>
      </c>
      <c r="L72" s="61" t="str">
        <f>""</f>
        <v/>
      </c>
      <c r="M72" s="61" t="str">
        <f>""</f>
        <v/>
      </c>
      <c r="N72" s="471"/>
      <c r="O72" s="471"/>
      <c r="P72" s="471"/>
      <c r="Q72" s="471"/>
      <c r="R72" s="471"/>
      <c r="S72" s="471"/>
      <c r="T72" s="471"/>
      <c r="U72" s="472"/>
      <c r="V72" s="472"/>
      <c r="W72" s="472"/>
      <c r="X72" s="472"/>
      <c r="Y72" s="472"/>
      <c r="Z72" s="472"/>
      <c r="AA72" s="472"/>
      <c r="AB72" s="472"/>
      <c r="AC72" s="472"/>
      <c r="AD72" s="472"/>
      <c r="AE72" s="472"/>
      <c r="AF72" s="472"/>
      <c r="AG72" s="472"/>
      <c r="AH72" s="472"/>
    </row>
    <row r="73" spans="1:34" x14ac:dyDescent="0.2">
      <c r="A73" s="767"/>
      <c r="B73" s="61" t="s">
        <v>96</v>
      </c>
      <c r="C73" s="61" t="str">
        <f>IF(AND(QUOTE_Split_SoftwareHardware,FOLIA_PosiOrBlueBG_Checkbox,NOT(FOLIA_ClientWithOrWithoutScanner_ChkBox)),C65,"")</f>
        <v/>
      </c>
      <c r="D73" s="61">
        <f>IF(FOLIA_PosiOrBlueBG_Checkbox,D65,0)</f>
        <v>0</v>
      </c>
      <c r="E73" s="61"/>
      <c r="F73" s="61">
        <v>1</v>
      </c>
      <c r="G73" s="61">
        <f>TableQCalcMain[[#This Row],[ShowDesc?]]*TableQCalcMain[[#This Row],[Software]]</f>
        <v>0</v>
      </c>
      <c r="H73" s="61">
        <f>TableQCalcMain[[#This Row],[ShowDesc?]]*TableQCalcMain[[#This Row],[Hardware]]</f>
        <v>0</v>
      </c>
      <c r="I73" s="61" t="str">
        <f>SUBSTITUTE("         " &amp; WinFOLIA!D21,
"         • ",
IF(AND(QUOTE_Split_SoftwareHardware,NOT(FOLIA_ClientWithOrWithoutScanner_ChkBox)),"","         • "))</f>
        <v xml:space="preserve">         • Fond Bleu pour Analyse Couleur pour scanner STD</v>
      </c>
      <c r="J73" s="61" t="str">
        <f>IF(AND(FOLIA_PosiOrBlueBG_Checkbox,QUOTE_Split_SoftwareHardware),WinFOLIA!$I$24,"")</f>
        <v/>
      </c>
      <c r="K73" s="61">
        <f>ROUND(INDEX(PrixBlBgSTD_LA_LC,1,,FOLIA_IndexScanner)*(FOLIA_PosiOrBlueBG_Checkbox)*(FOLIA_N_System-1)*(1-RebateHardware*Distributeurs_Rabais),0)</f>
        <v>0</v>
      </c>
      <c r="L73" s="61">
        <f>IF(AND(QUOTE_Split_SoftwareHardware,FOLIA_PosiOrBlueBG_Checkbox,NOT(FOLIA_ClientWithOrWithoutScanner_ChkBox)),TableQCalcMain[[#This Row],[Detailed_Ext_Price]]/TableQCalcMain[[#This Row],[ShowDesc?]],0)</f>
        <v>0</v>
      </c>
      <c r="M73" s="61">
        <f>IF(AND(QUOTE_Split_SoftwareHardware,FOLIA_PosiOrBlueBG_Checkbox,NOT(FOLIA_ClientWithOrWithoutScanner_ChkBox)),TableQCalcMain[[#This Row],[Detailed_Ext_Price]],0)</f>
        <v>0</v>
      </c>
      <c r="N73" s="471"/>
      <c r="O73" s="471"/>
      <c r="P73" s="471"/>
      <c r="Q73" s="471"/>
      <c r="R73" s="471"/>
      <c r="S73" s="471"/>
      <c r="T73" s="471"/>
      <c r="U73" s="472"/>
      <c r="V73" s="472"/>
      <c r="W73" s="472"/>
      <c r="X73" s="472"/>
      <c r="Y73" s="472"/>
      <c r="Z73" s="472"/>
      <c r="AA73" s="472"/>
      <c r="AB73" s="472"/>
      <c r="AC73" s="472"/>
      <c r="AD73" s="472"/>
      <c r="AE73" s="472"/>
      <c r="AF73" s="472"/>
      <c r="AG73" s="472"/>
      <c r="AH73" s="472"/>
    </row>
    <row r="74" spans="1:34" x14ac:dyDescent="0.2">
      <c r="A74" s="767"/>
      <c r="B74" s="571" t="s">
        <v>349</v>
      </c>
      <c r="C74" s="571" t="str">
        <f>IF(AND((QUOTE_Split_SoftwareHardware),N(C66)=0),C65,
IF(AND(QUOTE_Split_SoftwareHardware,NOT(FOLIA_ClientWithOrWithoutScanner_ChkBox)),C65,"")
)</f>
        <v/>
      </c>
      <c r="D74" s="571">
        <f>IF(AND((QUOTE_Split_SoftwareHardware),AND(NOT(SuperUser),N(D66)=0)),0,D65)</f>
        <v>0</v>
      </c>
      <c r="E74" s="538">
        <v>1</v>
      </c>
      <c r="F74" s="538">
        <v>0</v>
      </c>
      <c r="G74" s="538">
        <f>TableQCalcMain[[#This Row],[ShowDesc?]]*TableQCalcMain[[#This Row],[Software]]</f>
        <v>0</v>
      </c>
      <c r="H74" s="538">
        <f>TableQCalcMain[[#This Row],[ShowDesc?]]*TableQCalcMain[[#This Row],[Hardware]]</f>
        <v>0</v>
      </c>
      <c r="I74" s="571" t="str">
        <f>IF(AND((QUOTE_Split_SoftwareHardware),N(C66)=0),"","         • ") &amp; IF(Francais,
"Calibration Scanner, Instructions," &amp; IF(OR(LEFT(TableQCalcMain[[#This Row],[Variable / Product ID]],3)="RHI",LEFT(TableQCalcMain[[#This Row],[Variable / Product ID]],3)="SEE")," Didacticiel vidéo,","") &amp; " Pilote TWAIN " &amp; "&amp;" &amp; " Support Technique",
"Scanner Calibration, Instructions," &amp; IF(OR(LEFT(TableQCalcMain[[#This Row],[Variable / Product ID]],3)="RHI",LEFT(TableQCalcMain[[#This Row],[Variable / Product ID]],3)="SEE")," Video tutorial,","") &amp; " TWAIN driver " &amp; "&amp;" &amp; " Technical support")
&amp; IF(LEFT(TableQCalcMain[[#This Row],[Variable / Product ID]],3)="DEN",REPT(" ",0),
IF(LEFT(TableQCalcMain[[#This Row],[Variable / Product ID]],3)="RHI",REPT(" ",1),
IF(LEFT(TableQCalcMain[[#This Row],[Variable / Product ID]],3)="FOL",REPT(" ",2),
IF(LEFT(TableQCalcMain[[#This Row],[Variable / Product ID]],3)="SEE",REPT(" ",3),
IF(LEFT(TableQCalcMain[[#This Row],[Variable / Product ID]],3)="CAM",REPT(" ",4),"")))))</f>
        <v xml:space="preserve">         • Calibration Scanner, Instructions, Pilote TWAIN &amp; Support Technique  </v>
      </c>
      <c r="J74" s="538" t="str">
        <f>""</f>
        <v/>
      </c>
      <c r="K74" s="538">
        <f>ROUND((IF(FOLIA_IndexScanner=3,LC_GenCalib_Drivers_Instr_Techsup,IF(FOLIA_IndexScanner=1,STD_GenCalib_Drivers_Instr_Techsup,LA_GenCalib_Drivers_Instr_Techsup)
))*(FOLIA_N_System-1)*(1-RebateCalibScanner*Distributeurs_Rabais),0)</f>
        <v>0</v>
      </c>
      <c r="L74" s="538" t="str">
        <f>IF(QUOTE_Split_SoftwareHardware,TableQCalcMain[[#This Row],[Detailed_Ext_Price]]/TableQCalcMain[[#This Row],[ShowDesc?]],"")</f>
        <v/>
      </c>
      <c r="M74" s="538">
        <f>IF(QUOTE_Split_SoftwareHardware,TableQCalcMain[[#This Row],[Detailed_Ext_Price]],0)</f>
        <v>0</v>
      </c>
      <c r="N74" s="471"/>
      <c r="O74" s="471"/>
      <c r="P74" s="471"/>
      <c r="Q74" s="471"/>
      <c r="R74" s="471"/>
      <c r="S74" s="471"/>
      <c r="T74" s="471"/>
      <c r="U74" s="472"/>
      <c r="V74" s="472"/>
      <c r="W74" s="472"/>
      <c r="X74" s="472"/>
      <c r="Y74" s="472"/>
      <c r="Z74" s="472"/>
      <c r="AA74" s="472"/>
      <c r="AB74" s="472"/>
      <c r="AC74" s="472"/>
      <c r="AD74" s="472"/>
      <c r="AE74" s="472"/>
      <c r="AF74" s="472"/>
      <c r="AG74" s="472"/>
      <c r="AH74" s="472"/>
    </row>
    <row r="75" spans="1:34" x14ac:dyDescent="0.2">
      <c r="A75" s="767"/>
      <c r="B75" s="61" t="s">
        <v>344</v>
      </c>
      <c r="C75" s="455"/>
      <c r="D75" s="61"/>
      <c r="E75" s="61"/>
      <c r="F75" s="61"/>
      <c r="G75" s="61"/>
      <c r="H75" s="61"/>
      <c r="I75" s="61"/>
      <c r="J75" s="61" t="str">
        <f>""</f>
        <v/>
      </c>
      <c r="K75" s="61" t="str">
        <f>""</f>
        <v/>
      </c>
      <c r="L75" s="61" t="str">
        <f>""</f>
        <v/>
      </c>
      <c r="M75" s="61" t="str">
        <f>""</f>
        <v/>
      </c>
      <c r="N75" s="471"/>
      <c r="O75" s="471"/>
      <c r="P75" s="471"/>
      <c r="Q75" s="471"/>
      <c r="R75" s="471"/>
      <c r="S75" s="471"/>
      <c r="T75" s="471"/>
      <c r="U75" s="472"/>
      <c r="V75" s="472"/>
      <c r="W75" s="472"/>
      <c r="X75" s="472"/>
      <c r="Y75" s="472"/>
      <c r="Z75" s="472"/>
      <c r="AA75" s="472"/>
      <c r="AB75" s="472"/>
      <c r="AC75" s="472"/>
      <c r="AD75" s="472"/>
      <c r="AE75" s="472"/>
      <c r="AF75" s="472"/>
      <c r="AG75" s="472"/>
      <c r="AH75" s="472"/>
    </row>
    <row r="76" spans="1:34" x14ac:dyDescent="0.2">
      <c r="A76" s="767"/>
      <c r="B76" s="469" t="s">
        <v>68</v>
      </c>
      <c r="C76" s="61">
        <f>FOLIA_N_UpgradeUpdate-1</f>
        <v>0</v>
      </c>
      <c r="D76" s="567">
        <f>IFERROR(IF(AND(D67=0,OR(WinFOLIA!$G$5&gt;0,WinFOLIA!$G$6&gt;0)),FOLIA_N_UpgradeUpdate-1,0),0)</f>
        <v>0</v>
      </c>
      <c r="E76" s="61">
        <v>1</v>
      </c>
      <c r="F76" s="61"/>
      <c r="G76" s="61">
        <f>TableQCalcMain[[#This Row],[ShowDesc?]]*TableQCalcMain[[#This Row],[Software]]</f>
        <v>0</v>
      </c>
      <c r="H76" s="61">
        <f>TableQCalcMain[[#This Row],[ShowDesc?]]*TableQCalcMain[[#This Row],[Hardware]]</f>
        <v>0</v>
      </c>
      <c r="I76" s="469" t="str">
        <f>IF(Francais,"Mise à jour de ","Update from ") &amp;
INDEX(FOLIA_SoftwareList,FOLIA_IndexClientVersion) &amp; FOLIA_YearClient &amp;
IF(Francais," à "," to ") &amp;
INDEX(FOLIA_SoftwareList,FOLIA_IndexSoftware) &amp; FOLIA_YearMostRecent  &amp; " " &amp; "&amp;" &amp; " XLFolia"
&amp;
IF(QUOTE_Split_SoftwareHardware,IF(QUOTE_InternetDownload,IF(Francais, ", Téléchargement Internet", ", Internet download"),IF(Francais, ", Envoyé par transporteur", ", Shipped by courier")),IF(Francais," sur media USB (manuels PDF &amp; imprimés)"," on USB drive (PDF &amp; printed manuals)"))</f>
        <v>Mise à jour de WinFOLIA™ Reg 2019 à WinFOLIA™ Reg 2025 &amp; XLFolia sur media USB (manuels PDF &amp; imprimés)</v>
      </c>
      <c r="J76" s="61">
        <f>IF(FOLIA_N_System&gt;1,
"",WinFOLIA!I4)</f>
        <v>852349</v>
      </c>
      <c r="K76" s="61" t="str">
        <f>""</f>
        <v/>
      </c>
      <c r="L76" s="61" t="e">
        <f>ROUND(TableQCalcMain[[#This Row],[Extended_price]]/TableQCalcMain[[#This Row],[Real_Quantity]],2)</f>
        <v>#DIV/0!</v>
      </c>
      <c r="M76" s="764">
        <f>ROUND(IF(Distributeurs_Rabais,IFERROR(QCalc!G198,0),IFERROR(QCalc!F198,0))
-IF(AND(NOT(FOLIA_ChkB_RemoteUpdate),QUOTE_Split_SoftwareHardware),PrixUSBKey*(FOLIA_N_UpgradeUpdate-1),0),2)</f>
        <v>0</v>
      </c>
      <c r="N76" s="471"/>
      <c r="O76" s="471"/>
      <c r="P76" s="471"/>
      <c r="Q76" s="471"/>
      <c r="R76" s="471"/>
      <c r="S76" s="471"/>
      <c r="T76" s="471"/>
      <c r="U76" s="472"/>
      <c r="V76" s="472"/>
      <c r="W76" s="472"/>
      <c r="X76" s="472"/>
      <c r="Y76" s="472"/>
      <c r="Z76" s="472"/>
      <c r="AA76" s="472"/>
      <c r="AB76" s="472"/>
      <c r="AC76" s="472"/>
      <c r="AD76" s="472"/>
      <c r="AE76" s="472"/>
      <c r="AF76" s="472"/>
      <c r="AG76" s="472"/>
      <c r="AH76" s="472"/>
    </row>
    <row r="77" spans="1:34" x14ac:dyDescent="0.2">
      <c r="A77" s="767"/>
      <c r="B77" s="470" t="s">
        <v>330</v>
      </c>
      <c r="C77" s="61" t="str">
        <f>""</f>
        <v/>
      </c>
      <c r="D77" s="61">
        <f>IF(QUOTE_Split_SoftwareHardware,N($C$76),0)</f>
        <v>0</v>
      </c>
      <c r="E77" s="61">
        <v>1</v>
      </c>
      <c r="F77" s="61"/>
      <c r="G77" s="61">
        <f>TableQCalcMain[[#This Row],[ShowDesc?]]*TableQCalcMain[[#This Row],[Software]]</f>
        <v>0</v>
      </c>
      <c r="H77" s="61"/>
      <c r="I77" s="61" t="str">
        <f>"         • " &amp; IF(AND(QUOTE_Split_SoftwareHardware,QUOTE_InternetDownload),
IF(Francais,"Logiciels et documents d'instructions (fichiers PDF)","Software &amp; Instructions documents (PDF files)"),
IF(Francais,"Logiciel et documents d'instructions (" &amp; IF(QUOTE_InternetDownload,"sur clé USB","PDF") &amp; " et imprimés)","Software &amp; Instructions documents (" &amp; IF(QUOTE_InternetDownload,"on USB Key","PDF") &amp; " &amp; printed)"))
&amp;REPT(" ",9)</f>
        <v xml:space="preserve">         • Logiciel et documents d'instructions (PDF et imprimés)         </v>
      </c>
      <c r="J77" s="61" t="str">
        <f>""</f>
        <v/>
      </c>
      <c r="K77" s="61" t="str">
        <f>""</f>
        <v/>
      </c>
      <c r="L77" s="61" t="str">
        <f>""</f>
        <v/>
      </c>
      <c r="M77" s="61" t="str">
        <f>""</f>
        <v/>
      </c>
      <c r="N77" s="471"/>
      <c r="O77" s="471"/>
      <c r="P77" s="471"/>
      <c r="Q77" s="471"/>
      <c r="R77" s="471"/>
      <c r="S77" s="471"/>
      <c r="T77" s="471"/>
      <c r="U77" s="472"/>
      <c r="V77" s="472"/>
      <c r="W77" s="472"/>
      <c r="X77" s="472"/>
      <c r="Y77" s="472"/>
      <c r="Z77" s="472"/>
      <c r="AA77" s="472"/>
      <c r="AB77" s="472"/>
      <c r="AC77" s="472"/>
      <c r="AD77" s="472"/>
      <c r="AE77" s="472"/>
      <c r="AF77" s="472"/>
      <c r="AG77" s="472"/>
      <c r="AH77" s="472"/>
    </row>
    <row r="78" spans="1:34" x14ac:dyDescent="0.2">
      <c r="A78" s="767"/>
      <c r="B78" s="538" t="str">
        <f>B74&amp;"Upd"</f>
        <v>FOLIA System Calib ManualUpd</v>
      </c>
      <c r="C78" s="538" t="str">
        <f>""</f>
        <v/>
      </c>
      <c r="D78" s="764">
        <f>IF(AND(D65&gt;0,D66=0),IF(NOT(AND(FOLIA_ChkBox_UpgradeUpdate,FOLIA_ChkB_RemoteUpdate,QUOTE_Split_SoftwareHardware)),D70,1),0)</f>
        <v>0</v>
      </c>
      <c r="E78" s="538">
        <v>1</v>
      </c>
      <c r="F78" s="538">
        <v>0</v>
      </c>
      <c r="G78" s="538">
        <f>TableQCalcMain[[#This Row],[ShowDesc?]]*TableQCalcMain[[#This Row],[Software]]</f>
        <v>0</v>
      </c>
      <c r="H78" s="538">
        <f>TableQCalcMain[[#This Row],[ShowDesc?]]*TableQCalcMain[[#This Row],[Hardware]]</f>
        <v>0</v>
      </c>
      <c r="I78" s="538" t="str">
        <f>"         • " &amp; IF(Francais,
"Calibration Scanner, Instructions," &amp; IF(OR(LEFT(TableQCalcMain[[#This Row],[Variable / Product ID]],3)="RHI",LEFT(TableQCalcMain[[#This Row],[Variable / Product ID]],3)="SEE")," Didacticiel vidéo,","") &amp; " Pilote TWAIN " &amp; "&amp;" &amp; " Support Technique",
"Scanner Calibration, Instructions," &amp; IF(OR(LEFT(TableQCalcMain[[#This Row],[Variable / Product ID]],3)="RHI",LEFT(TableQCalcMain[[#This Row],[Variable / Product ID]],3)="SEE")," Video tutorial,","") &amp; " TWAIN driver " &amp; "&amp;" &amp; " Technical support")
&amp; IF(LEFT(TableQCalcMain[[#This Row],[Variable / Product ID]],3)="DEN",REPT(" ",5),
IF(LEFT(TableQCalcMain[[#This Row],[Variable / Product ID]],3)="RHI",REPT(" ",6),
IF(LEFT(TableQCalcMain[[#This Row],[Variable / Product ID]],3)="FOL",REPT(" ",7),
IF(LEFT(TableQCalcMain[[#This Row],[Variable / Product ID]],3)="SEE",REPT(" ",8),
IF(LEFT(TableQCalcMain[[#This Row],[Variable / Product ID]],3)="CAM",REPT(" ",9),"")))))</f>
        <v xml:space="preserve">         • Calibration Scanner, Instructions, Pilote TWAIN &amp; Support Technique       </v>
      </c>
      <c r="J78" s="538" t="str">
        <f>J74</f>
        <v/>
      </c>
      <c r="K78" s="538">
        <f t="shared" ref="K78:M78" si="2">K74</f>
        <v>0</v>
      </c>
      <c r="L78" s="538" t="str">
        <f>IF(QUOTE_Split_SoftwareHardware,TableQCalcMain[[#This Row],[Detailed_Ext_Price]]/TableQCalcMain[[#This Row],[ShowDesc?]],"")</f>
        <v/>
      </c>
      <c r="M78" s="538">
        <f t="shared" si="2"/>
        <v>0</v>
      </c>
      <c r="N78" s="471"/>
      <c r="O78" s="471"/>
      <c r="P78" s="471"/>
      <c r="Q78" s="471"/>
      <c r="R78" s="471"/>
      <c r="S78" s="471"/>
      <c r="T78" s="471"/>
      <c r="U78" s="472"/>
      <c r="V78" s="472"/>
      <c r="W78" s="472"/>
      <c r="X78" s="472"/>
      <c r="Y78" s="472"/>
      <c r="Z78" s="472"/>
      <c r="AA78" s="472"/>
      <c r="AB78" s="472"/>
      <c r="AC78" s="472"/>
      <c r="AD78" s="472"/>
      <c r="AE78" s="472"/>
      <c r="AF78" s="472"/>
      <c r="AG78" s="472"/>
      <c r="AH78" s="472"/>
    </row>
    <row r="79" spans="1:34" x14ac:dyDescent="0.2">
      <c r="A79" s="767"/>
      <c r="B79" s="61" t="s">
        <v>69</v>
      </c>
      <c r="C79" s="61">
        <f>IF(TableQCalcMain[[#This Row],[Unit_Price]]&gt;0,TableQCalcMain[[#This Row],[ShowDesc?]],0)</f>
        <v>0</v>
      </c>
      <c r="D79" s="61">
        <v>0</v>
      </c>
      <c r="E79" s="61"/>
      <c r="F79" s="61"/>
      <c r="G79" s="61">
        <f>TableQCalcMain[[#This Row],[ShowDesc?]]*TableQCalcMain[[#This Row],[Software]]</f>
        <v>0</v>
      </c>
      <c r="H79" s="61">
        <f>TableQCalcMain[[#This Row],[ShowDesc?]]*TableQCalcMain[[#This Row],[Hardware]]</f>
        <v>0</v>
      </c>
      <c r="I79" s="61">
        <v>0</v>
      </c>
      <c r="J79" s="61" t="str">
        <f>""</f>
        <v/>
      </c>
      <c r="K79" s="61" t="str">
        <f>""</f>
        <v/>
      </c>
      <c r="L79" s="61" t="str">
        <f>""</f>
        <v/>
      </c>
      <c r="M79" s="61" t="str">
        <f>IFERROR(
IF(TableQCalcMain[[#This Row],[Unit_Price]]*TableQCalcMain[[#This Row],[Real_Quantity]]&gt;0,
TableQCalcMain[[#This Row],[Unit_Price]]*TableQCalcMain[[#This Row],[Real_Quantity]],""),"")</f>
        <v/>
      </c>
      <c r="N79" s="471"/>
      <c r="O79" s="472"/>
      <c r="P79" s="472"/>
      <c r="Q79" s="472"/>
      <c r="R79" s="472"/>
      <c r="S79" s="472"/>
      <c r="T79" s="471"/>
      <c r="U79" s="472"/>
      <c r="V79" s="472"/>
      <c r="W79" s="472"/>
      <c r="X79" s="472"/>
      <c r="Y79" s="472"/>
      <c r="Z79" s="472"/>
      <c r="AA79" s="472"/>
      <c r="AB79" s="472"/>
      <c r="AC79" s="472"/>
      <c r="AD79" s="472"/>
      <c r="AE79" s="472"/>
      <c r="AF79" s="472"/>
      <c r="AG79" s="472"/>
      <c r="AH79" s="472"/>
    </row>
    <row r="80" spans="1:34" x14ac:dyDescent="0.2">
      <c r="A80" s="767"/>
      <c r="B80" s="61" t="s">
        <v>70</v>
      </c>
      <c r="C80" s="61">
        <f>IF(TableQCalcMain[[#This Row],[Unit_Price]]&gt;0,TableQCalcMain[[#This Row],[ShowDesc?]],"")</f>
        <v>0</v>
      </c>
      <c r="D80" s="61">
        <f>IF(TableQCalcMain[[#This Row],[Unit_Price]]&gt;0,FOLIA_Option2-1,0)</f>
        <v>0</v>
      </c>
      <c r="E80" s="61"/>
      <c r="F80" s="61">
        <v>1</v>
      </c>
      <c r="G80" s="61">
        <f>TableQCalcMain[[#This Row],[ShowDesc?]]*TableQCalcMain[[#This Row],[Software]]</f>
        <v>0</v>
      </c>
      <c r="H80" s="61">
        <f>TableQCalcMain[[#This Row],[ShowDesc?]]*TableQCalcMain[[#This Row],[Hardware]]</f>
        <v>0</v>
      </c>
      <c r="I80" s="61" t="str">
        <f>WinFOLIA!D24 &amp; REPT(" ",0)</f>
        <v>PICK* 12" x 16" Incl. 1 Presse-feuille Bleu, 1 Blanc &amp; Cibles d'Étalonnage</v>
      </c>
      <c r="J80" s="61">
        <f>WinFOLIA!$I$24</f>
        <v>900691</v>
      </c>
      <c r="K80" s="61" t="str">
        <f>""</f>
        <v/>
      </c>
      <c r="L80" s="61">
        <f>ROUND(
IF(Distributeurs_Rabais,IFERROR(WinFOLIA!#REF!,0),WinFOLIA!G24),
2)</f>
        <v>246</v>
      </c>
      <c r="M80" s="61" t="str">
        <f>IFERROR(
IF(TableQCalcMain[[#This Row],[Unit_Price]]*TableQCalcMain[[#This Row],[Real_Quantity]]&gt;0,
TableQCalcMain[[#This Row],[Unit_Price]]*TableQCalcMain[[#This Row],[Real_Quantity]],""),"")</f>
        <v/>
      </c>
      <c r="N80" s="471"/>
      <c r="O80" s="472"/>
      <c r="P80" s="472"/>
      <c r="Q80" s="472"/>
      <c r="R80" s="472"/>
      <c r="S80" s="472"/>
      <c r="T80" s="471"/>
      <c r="U80" s="472"/>
      <c r="V80" s="472"/>
      <c r="W80" s="472"/>
      <c r="X80" s="472"/>
      <c r="Y80" s="472"/>
      <c r="Z80" s="472"/>
      <c r="AA80" s="472"/>
      <c r="AB80" s="472"/>
      <c r="AC80" s="472"/>
      <c r="AD80" s="472"/>
      <c r="AE80" s="472"/>
      <c r="AF80" s="472"/>
      <c r="AG80" s="472"/>
      <c r="AH80" s="472"/>
    </row>
    <row r="81" spans="1:34" x14ac:dyDescent="0.2">
      <c r="A81" s="767"/>
      <c r="B81" s="61" t="s">
        <v>71</v>
      </c>
      <c r="C81" s="61">
        <f>IF(TableQCalcMain[[#This Row],[Unit_Price]]&gt;0,TableQCalcMain[[#This Row],[ShowDesc?]],0)</f>
        <v>0</v>
      </c>
      <c r="D81" s="61">
        <f>IF(TableQCalcMain[[#This Row],[Unit_Price]]&gt;0,FOLIA_Option3-1,0)</f>
        <v>0</v>
      </c>
      <c r="E81" s="61"/>
      <c r="F81" s="61">
        <v>1</v>
      </c>
      <c r="G81" s="61">
        <f>TableQCalcMain[[#This Row],[ShowDesc?]]*TableQCalcMain[[#This Row],[Software]]</f>
        <v>0</v>
      </c>
      <c r="H81" s="61">
        <f>TableQCalcMain[[#This Row],[ShowDesc?]]*TableQCalcMain[[#This Row],[Hardware]]</f>
        <v>0</v>
      </c>
      <c r="I81" s="61" t="str">
        <f>WinFOLIA!D25 &amp; REPT(" ",0)</f>
        <v>PICK* 18" x 24" Incl. 1 Presse-feuille Bleu, 1 Blanc &amp; Cibles d'Étalonnage</v>
      </c>
      <c r="J81" s="61">
        <f>WinFOLIA!$I$24</f>
        <v>900691</v>
      </c>
      <c r="K81" s="61" t="str">
        <f>""</f>
        <v/>
      </c>
      <c r="L81" s="61">
        <f>ROUND(
IF(Distributeurs_Rabais,IFERROR(WinFOLIA!#REF!,0),WinFOLIA!G25),
2)</f>
        <v>457</v>
      </c>
      <c r="M81" s="61" t="str">
        <f>IFERROR(
IF(TableQCalcMain[[#This Row],[Unit_Price]]*TableQCalcMain[[#This Row],[Real_Quantity]]&gt;0,
TableQCalcMain[[#This Row],[Unit_Price]]*TableQCalcMain[[#This Row],[Real_Quantity]],""),"")</f>
        <v/>
      </c>
      <c r="N81" s="471"/>
      <c r="O81" s="472"/>
      <c r="P81" s="472"/>
      <c r="Q81" s="472"/>
      <c r="R81" s="472"/>
      <c r="S81" s="472"/>
      <c r="T81" s="471"/>
      <c r="U81" s="472"/>
      <c r="V81" s="472"/>
      <c r="W81" s="472"/>
      <c r="X81" s="472"/>
      <c r="Y81" s="472"/>
      <c r="Z81" s="472"/>
      <c r="AA81" s="472"/>
      <c r="AB81" s="472"/>
      <c r="AC81" s="472"/>
      <c r="AD81" s="472"/>
      <c r="AE81" s="472"/>
      <c r="AF81" s="472"/>
      <c r="AG81" s="472"/>
      <c r="AH81" s="472"/>
    </row>
    <row r="82" spans="1:34" x14ac:dyDescent="0.2">
      <c r="A82" s="767"/>
      <c r="B82" s="61" t="s">
        <v>211</v>
      </c>
      <c r="C82" s="61">
        <f>IF(TableQCalcMain[[#This Row],[Unit_Price]]&gt;0,TableQCalcMain[[#This Row],[ShowDesc?]],0)</f>
        <v>0</v>
      </c>
      <c r="D82" s="61">
        <f>IF(TableQCalcMain[[#This Row],[Unit_Price]]&gt;0,FOLIA_Option4-1,0)</f>
        <v>0</v>
      </c>
      <c r="E82" s="61"/>
      <c r="F82" s="61">
        <v>1</v>
      </c>
      <c r="G82" s="61">
        <f>TableQCalcMain[[#This Row],[ShowDesc?]]*TableQCalcMain[[#This Row],[Software]]</f>
        <v>0</v>
      </c>
      <c r="H82" s="61">
        <f>TableQCalcMain[[#This Row],[ShowDesc?]]*TableQCalcMain[[#This Row],[Hardware]]</f>
        <v>0</v>
      </c>
      <c r="I82" s="61" t="str">
        <f>WinFOLIA!D26 &amp; IF(Francais, " (pour scanner"," (for")&amp;IF(FOLIA_IndexScanner=1," STD4800","")&amp;IF(FOLIA_IndexScanner=2," LA2400","")&amp;IF(FOLIA_IndexScanner=3," LC4800P","") &amp; IF(Francais, ")"," scanner)") &amp; REPT(" ",3)</f>
        <v xml:space="preserve">Fond Bleu pour Analyse Couleur (pour scanner STD4800)   </v>
      </c>
      <c r="J82" s="61">
        <f>WinFOLIA!$I$24</f>
        <v>900691</v>
      </c>
      <c r="K82" s="61" t="str">
        <f>""</f>
        <v/>
      </c>
      <c r="L82" s="61">
        <f>ROUND(
IF(Distributeurs_Rabais,IFERROR(WinFOLIA!#REF!,0),WinFOLIA!G26),
2)</f>
        <v>28</v>
      </c>
      <c r="M82" s="61" t="str">
        <f>IFERROR(
IF(TableQCalcMain[[#This Row],[Unit_Price]]*TableQCalcMain[[#This Row],[Real_Quantity]]&gt;0,
TableQCalcMain[[#This Row],[Unit_Price]]*TableQCalcMain[[#This Row],[Real_Quantity]],""),"")</f>
        <v/>
      </c>
      <c r="N82" s="471"/>
      <c r="O82" s="472"/>
      <c r="P82" s="472"/>
      <c r="Q82" s="472"/>
      <c r="R82" s="472"/>
      <c r="S82" s="472"/>
      <c r="T82" s="471"/>
      <c r="U82" s="472"/>
      <c r="V82" s="472"/>
      <c r="W82" s="472"/>
      <c r="X82" s="472"/>
      <c r="Y82" s="472"/>
      <c r="Z82" s="472"/>
      <c r="AA82" s="472"/>
      <c r="AB82" s="472"/>
      <c r="AC82" s="472"/>
      <c r="AD82" s="472"/>
      <c r="AE82" s="472"/>
      <c r="AF82" s="472"/>
      <c r="AG82" s="472"/>
      <c r="AH82" s="472"/>
    </row>
    <row r="83" spans="1:34" x14ac:dyDescent="0.2">
      <c r="B83" s="536" t="s">
        <v>108</v>
      </c>
      <c r="C83" s="536" t="str">
        <f>""</f>
        <v/>
      </c>
      <c r="D83" s="536">
        <f>SUM(D65:D82)</f>
        <v>0</v>
      </c>
      <c r="E83" s="536">
        <v>1</v>
      </c>
      <c r="F83" s="536">
        <v>1</v>
      </c>
      <c r="G83" s="536">
        <f>SUM(G65:G82)</f>
        <v>0</v>
      </c>
      <c r="H83" s="536">
        <f>SUM(H65:H82)</f>
        <v>0</v>
      </c>
      <c r="I83" s="536" t="str">
        <f>REPT(" ",4)</f>
        <v xml:space="preserve">    </v>
      </c>
      <c r="J83" s="536" t="str">
        <f>""</f>
        <v/>
      </c>
      <c r="K83" s="536" t="str">
        <f>""</f>
        <v/>
      </c>
      <c r="L83" s="536" t="str">
        <f>""</f>
        <v/>
      </c>
      <c r="M83" s="536" t="str">
        <f>""</f>
        <v/>
      </c>
      <c r="N83" s="471"/>
      <c r="O83" s="472"/>
      <c r="P83" s="472"/>
      <c r="Q83" s="472"/>
      <c r="R83" s="472"/>
      <c r="S83" s="472"/>
      <c r="T83" s="471"/>
      <c r="U83" s="472"/>
      <c r="V83" s="472"/>
      <c r="W83" s="472"/>
      <c r="X83" s="472"/>
      <c r="Y83" s="472"/>
      <c r="Z83" s="472"/>
      <c r="AA83" s="472"/>
      <c r="AB83" s="472"/>
      <c r="AC83" s="472"/>
      <c r="AD83" s="472"/>
      <c r="AE83" s="472"/>
      <c r="AF83" s="472"/>
      <c r="AG83" s="472"/>
      <c r="AH83" s="472"/>
    </row>
    <row r="84" spans="1:34" x14ac:dyDescent="0.2">
      <c r="A84" s="768"/>
      <c r="B84" s="61" t="s">
        <v>72</v>
      </c>
      <c r="C84" s="61">
        <f>SEEDLE_N_System-1</f>
        <v>0</v>
      </c>
      <c r="D84" s="61">
        <f>IF(IFERROR(WinSEEDLE!$H$14+0,0)&gt;0,SEEDLE_N_System-1,0)</f>
        <v>0</v>
      </c>
      <c r="E84" s="61"/>
      <c r="F84" s="61"/>
      <c r="G84" s="61">
        <v>0</v>
      </c>
      <c r="H84" s="61">
        <v>0</v>
      </c>
      <c r="I84" s="61" t="str">
        <f>QCalc!I197 &amp; IF(Francais," Incluant:"," Including:")&amp; REPT(" ",3)</f>
        <v xml:space="preserve">WinSEEDLE™ Reg 2025 Logiciel Avec Scanner Incluant:   </v>
      </c>
      <c r="J84" s="61">
        <f>WinSEEDLE!I14</f>
        <v>903149</v>
      </c>
      <c r="K84" s="61">
        <f>TableQCalcMain[[#This Row],[Extended_price]]</f>
        <v>0</v>
      </c>
      <c r="L84" s="61" t="str">
        <f>IF(OR(TableQCalcMain[[#This Row],[Real_Quantity]]=0,TableQCalcMain[[#This Row],[Extended_price]]=0),"",ROUND(TableQCalcMain[[#This Row],[Extended_price]]/TableQCalcMain[[#This Row],[Real_Quantity]],2))</f>
        <v/>
      </c>
      <c r="M84" s="713">
        <f>ROUND(
IF(Distributeurs_Rabais,
IFERROR(WinSEEDLE!#REF! + WinSEEDLE!#REF!,0),
WinSEEDLE!H4 + WinSEEDLE!H14)+0*K86,
2)</f>
        <v>0</v>
      </c>
      <c r="N84" s="471"/>
      <c r="O84" s="472"/>
      <c r="P84" s="472"/>
      <c r="Q84" s="472"/>
      <c r="R84" s="472"/>
      <c r="S84" s="472"/>
      <c r="T84" s="471"/>
      <c r="U84" s="472"/>
      <c r="V84" s="472"/>
      <c r="W84" s="472"/>
      <c r="X84" s="472"/>
      <c r="Y84" s="472"/>
      <c r="Z84" s="472"/>
      <c r="AA84" s="472"/>
      <c r="AB84" s="472"/>
      <c r="AC84" s="472"/>
      <c r="AD84" s="472"/>
      <c r="AE84" s="472"/>
      <c r="AF84" s="472"/>
      <c r="AG84" s="472"/>
      <c r="AH84" s="472"/>
    </row>
    <row r="85" spans="1:34" x14ac:dyDescent="0.2">
      <c r="A85" s="768"/>
      <c r="B85" s="546" t="s">
        <v>73</v>
      </c>
      <c r="C85" s="547">
        <f>IF(AND(NOT(QUOTE_Split_SoftwareHardware),N(D84)&gt;0),
IF(SEEDLE_N_Software-1=0,0,SEEDLE_N_Software-1),
SEEDLE_N_Software-1)</f>
        <v>0</v>
      </c>
      <c r="D85" s="61">
        <f>TableQCalcMain[[#This Row],[Real_Quantity]]</f>
        <v>0</v>
      </c>
      <c r="E85" s="61">
        <v>1</v>
      </c>
      <c r="F85" s="61"/>
      <c r="G85" s="61">
        <f>N(TableQCalcMain[[#This Row],[ShowDesc?]])*TableQCalcMain[[#This Row],[Software]]</f>
        <v>0</v>
      </c>
      <c r="H85" s="61">
        <f>N(TableQCalcMain[[#This Row],[ShowDesc?]])*TableQCalcMain[[#This Row],[Hardware]]</f>
        <v>0</v>
      </c>
      <c r="I85" s="61" t="str">
        <f>IF(OR(SEEDLE_N_System=1,QUOTE_Split_SoftwareHardware),"","   • ") &amp; SUBSTITUTE(LEFT(INDEX(SEEDLE_SoftwareFullNames,SEEDLE_IndexSoftware),FIND(" ",INDEX(SEEDLE_SoftwareFullNames,SEEDLE_IndexSoftware),FIND(" ",INDEX(SEEDLE_SoftwareFullNames,SEEDLE_IndexSoftware))+1)),"™",IF(OR(SEEDLE_N_System=1,QUOTE_Split_SoftwareHardware),"™",""))&amp;
SEEDLE_YearMostRecent &amp; " " &amp; "&amp;" &amp; " XLSeedle" &amp;
IF(Francais," Logiciels"," Software")&amp; IF(QUOTE_Split_SoftwareHardware,IF(QUOTE_InternetDownload,IF(Francais, ", Téléchargement Internet", ", Internet download"),IF(Francais, ", Envoyé par transporteur", ", Shipped by courier")),IF(Francais," sur media USB (manuels PDF &amp; imprimés)"," on USB drive (PDF &amp; printed manuals)")) &amp;
IF(AND(QUOTE_SameClient=TRUE,SEEDLE_N_Software+SEEDLE_N_AlreadyHaveSoftware&gt;3),IF(Francais," (incl. rabais multi licenses"," (incl. multi licenses discount")&amp;
" "&amp;TEXT(ROUND((INDEX(SEEDLE_SoftwarePriceList,SEEDLE_IndexSoftware))*((SEEDLE_N_Software-1)-IF(SEEDLE_N_Software-1=0,0,SUM(MMULT(
  _xlfn.MUNIT(
   SEEDLE_N_Software-1),
    INDEX(TableLists[Column10],SEEDLE_N_AlreadyHaveSoftware-1+2):
    INDEX(TableLists[Column10],(SEEDLE_N_AlreadyHaveSoftware-1+1)+(SEEDLE_N_Software-1))
))))*(1-RebateSoftware*Distributeurs_Rabais),0),"0.00")&amp;")","")</f>
        <v>WinSEEDLE™ Reg 2025 &amp; XLSeedle Logiciels sur media USB (manuels PDF &amp; imprimés)</v>
      </c>
      <c r="J85" s="61">
        <f>IF(AND(SEEDLE_N_System&gt;1,NOT(QUOTE_Split_SoftwareHardware)),
"",WinSEEDLE!I4)</f>
        <v>852349</v>
      </c>
      <c r="K85" s="61">
        <f>ROUND((INDEX(SEEDLE_SoftwarePriceList,SEEDLE_IndexSoftware))*
IF(SEEDLE_N_Software-1=0,0,SUM(MMULT(
  _xlfn.MUNIT(
   SEEDLE_N_Software-1),
    INDEX(TableLists[Column10],SEEDLE_N_AlreadyHaveSoftware-1+2):
    INDEX(TableLists[Column10],(SEEDLE_N_AlreadyHaveSoftware-1+1)+(SEEDLE_N_Software-1))
)))*(1-RebateSoftware*Distributeurs_Rabais)
-IF(QUOTE_Split_SoftwareHardware,PrixUSBKey*(SEEDLE_N_Software-1),0),0)</f>
        <v>0</v>
      </c>
      <c r="L85" s="61" t="str">
        <f>IF(OR(TableQCalcMain[[#This Row],[Real_Quantity]]=0,TableQCalcMain[[#This Row],[Extended_price]]=0),"",ROUND(TableQCalcMain[[#This Row],[Extended_price]]/TableQCalcMain[[#This Row],[Real_Quantity]],2))</f>
        <v/>
      </c>
      <c r="M85" s="61">
        <f>ROUND(
IF(SEEDLE_N_System&gt;1,
IF(NOT(QUOTE_Split_SoftwareHardware),0,TableQCalcMain[[#This Row],[Detailed_Ext_Price]]),
(INDEX(SEEDLE_SoftwarePriceList,SEEDLE_IndexSoftware))*
IF(SEEDLE_N_Software-1=0,0,SUM(MMULT(
  _xlfn.MUNIT(
   SEEDLE_N_Software-1),
    INDEX(TableLists[Column10],SEEDLE_N_AlreadyHaveSoftware-1+2):
    INDEX(TableLists[Column10],(SEEDLE_N_AlreadyHaveSoftware-1+1)+(SEEDLE_N_Software-1))
))
)*(1-RebateSoftware*Distributeurs_Rabais)
-IF(QUOTE_Split_SoftwareHardware,PrixUSBKey*(SEEDLE_N_Software-1),0)),0)</f>
        <v>0</v>
      </c>
      <c r="N85" s="471"/>
      <c r="O85" s="472"/>
      <c r="P85" s="472"/>
      <c r="Q85" s="472"/>
      <c r="R85" s="472"/>
      <c r="S85" s="472"/>
      <c r="T85" s="471"/>
      <c r="U85" s="472"/>
      <c r="V85" s="472"/>
      <c r="W85" s="472"/>
      <c r="X85" s="472"/>
      <c r="Y85" s="472"/>
      <c r="Z85" s="472"/>
      <c r="AA85" s="472"/>
      <c r="AB85" s="472"/>
      <c r="AC85" s="472"/>
      <c r="AD85" s="472"/>
      <c r="AE85" s="472"/>
      <c r="AF85" s="472"/>
      <c r="AG85" s="472"/>
      <c r="AH85" s="472"/>
    </row>
    <row r="86" spans="1:34" x14ac:dyDescent="0.2">
      <c r="A86" s="768"/>
      <c r="B86" s="565" t="s">
        <v>747</v>
      </c>
      <c r="C86" s="567" t="str">
        <f>""</f>
        <v/>
      </c>
      <c r="D86" s="567">
        <f>IF(AND(
C84&lt;&gt;0,C85=0,
NOT(QUOTE_Split_SoftwareHardware),
IFERROR(QCalc!$F$197,0)&gt;0
),C95,0)+N("Si il y a un système sans software (update only) et que facture est pas split, afficher UpgradeUpdate en tant que Software dans système")</f>
        <v>0</v>
      </c>
      <c r="E86" s="61"/>
      <c r="F86" s="61"/>
      <c r="G86" s="61"/>
      <c r="H86" s="61"/>
      <c r="I86" s="565" t="str">
        <f>"   • " &amp; I95</f>
        <v xml:space="preserve">   • Mise à jour de WinSEEDLE™ Basic 2019 à WinSEEDLE™ Reg 2025 &amp; XLSeedle sur media USB (manuels PDF &amp; imprimés)</v>
      </c>
      <c r="J86" s="565">
        <f>J95</f>
        <v>852349</v>
      </c>
      <c r="K86" s="565">
        <f>IF(TableQCalcMain[[#This Row],[ShowDesc?]]=0,0,M95)</f>
        <v>0</v>
      </c>
      <c r="L86" s="61"/>
      <c r="M86" s="61"/>
      <c r="N86" s="471"/>
      <c r="O86" s="472"/>
      <c r="P86" s="472"/>
      <c r="Q86" s="472"/>
      <c r="R86" s="472"/>
      <c r="S86" s="472"/>
      <c r="T86" s="471"/>
      <c r="U86" s="472"/>
      <c r="V86" s="472"/>
      <c r="W86" s="472"/>
      <c r="X86" s="472"/>
      <c r="Y86" s="472"/>
      <c r="Z86" s="472"/>
      <c r="AA86" s="472"/>
      <c r="AB86" s="472"/>
      <c r="AC86" s="472"/>
      <c r="AD86" s="472"/>
      <c r="AE86" s="472"/>
      <c r="AF86" s="472"/>
      <c r="AG86" s="472"/>
      <c r="AH86" s="472"/>
    </row>
    <row r="87" spans="1:34" x14ac:dyDescent="0.2">
      <c r="A87" s="768"/>
      <c r="B87" s="470" t="s">
        <v>334</v>
      </c>
      <c r="C87" s="61" t="str">
        <f>""</f>
        <v/>
      </c>
      <c r="D87" s="61">
        <f>IF(QUOTE_Split_SoftwareHardware,N($C$85),0)</f>
        <v>0</v>
      </c>
      <c r="E87" s="61">
        <v>1</v>
      </c>
      <c r="F87" s="61"/>
      <c r="G87" s="61">
        <f>TableQCalcMain[[#This Row],[ShowDesc?]]*TableQCalcMain[[#This Row],[Software]]</f>
        <v>0</v>
      </c>
      <c r="H87" s="61"/>
      <c r="I87" s="61" t="str">
        <f>"         • " &amp; IF(AND(QUOTE_Split_SoftwareHardware,QUOTE_InternetDownload),
IF(Francais,"Logiciels et documents d'instructions (fichiers PDF)","Software &amp; Instructions documents (PDF files)"),
IF(Francais,"Logiciel et documents d'instructions (" &amp; IF(QUOTE_InternetDownload,"sur clé USB","PDF") &amp; " et imprimés)","Software &amp; Instructions documents (" &amp; IF(QUOTE_InternetDownload,"on USB Key","PDF") &amp; " &amp; printed)"))
&amp;REPT(" ",10)</f>
        <v xml:space="preserve">         • Logiciel et documents d'instructions (PDF et imprimés)          </v>
      </c>
      <c r="J87" s="61" t="str">
        <f>""</f>
        <v/>
      </c>
      <c r="K87" s="61" t="str">
        <f>""</f>
        <v/>
      </c>
      <c r="L87" s="61" t="str">
        <f>""</f>
        <v/>
      </c>
      <c r="M87" s="61" t="str">
        <f>""</f>
        <v/>
      </c>
      <c r="N87" s="471"/>
      <c r="O87" s="472"/>
      <c r="P87" s="472"/>
      <c r="Q87" s="472"/>
      <c r="R87" s="472"/>
      <c r="S87" s="472"/>
      <c r="T87" s="471"/>
      <c r="U87" s="472"/>
      <c r="V87" s="472"/>
      <c r="W87" s="472"/>
      <c r="X87" s="472"/>
      <c r="Y87" s="472"/>
      <c r="Z87" s="472"/>
      <c r="AA87" s="472"/>
      <c r="AB87" s="472"/>
      <c r="AC87" s="472"/>
      <c r="AD87" s="472"/>
      <c r="AE87" s="472"/>
      <c r="AF87" s="472"/>
      <c r="AG87" s="472"/>
      <c r="AH87" s="472"/>
    </row>
    <row r="88" spans="1:34" x14ac:dyDescent="0.2">
      <c r="A88" s="768"/>
      <c r="B88" s="61" t="s">
        <v>74</v>
      </c>
      <c r="C88" s="61">
        <f>SEEDLE_OptionXL*(SEEDLE_N_Software-1)</f>
        <v>0</v>
      </c>
      <c r="D88" s="61">
        <f>0*SEEDLE_OptionXL*(SEEDLE_N_Software-1)</f>
        <v>0</v>
      </c>
      <c r="E88" s="61">
        <v>1</v>
      </c>
      <c r="F88" s="61"/>
      <c r="G88" s="61">
        <f>TableQCalcMain[[#This Row],[ShowDesc?]]*TableQCalcMain[[#This Row],[Software]]</f>
        <v>0</v>
      </c>
      <c r="H88" s="61">
        <f>TableQCalcMain[[#This Row],[ShowDesc?]]*TableQCalcMain[[#This Row],[Hardware]]</f>
        <v>0</v>
      </c>
      <c r="I88" s="61" t="str">
        <f>IF(SEEDLE_N_System=1,"","   • ")&amp;IF(Francais,"XLSeedle Logiciel pour l'Analyse des données de WinSEEDLE","XLSeedle Software for WinSEEDLE's data Analysis")</f>
        <v>XLSeedle Logiciel pour l'Analyse des données de WinSEEDLE</v>
      </c>
      <c r="J88" s="61" t="str">
        <f>""</f>
        <v/>
      </c>
      <c r="K88" s="61" t="s">
        <v>162</v>
      </c>
      <c r="L88" s="61" t="str">
        <f>""</f>
        <v/>
      </c>
      <c r="M88" s="61" t="str">
        <f>""</f>
        <v/>
      </c>
      <c r="N88" s="471"/>
      <c r="O88" s="472"/>
      <c r="P88" s="472"/>
      <c r="Q88" s="472"/>
      <c r="R88" s="472"/>
      <c r="S88" s="472"/>
      <c r="T88" s="471"/>
      <c r="U88" s="472"/>
      <c r="V88" s="472"/>
      <c r="W88" s="472"/>
      <c r="X88" s="472"/>
      <c r="Y88" s="472"/>
      <c r="Z88" s="472"/>
      <c r="AA88" s="472"/>
      <c r="AB88" s="472"/>
      <c r="AC88" s="472"/>
      <c r="AD88" s="472"/>
      <c r="AE88" s="472"/>
      <c r="AF88" s="472"/>
      <c r="AG88" s="472"/>
      <c r="AH88" s="472"/>
    </row>
    <row r="89" spans="1:34" x14ac:dyDescent="0.2">
      <c r="A89" s="768"/>
      <c r="B89" s="61" t="s">
        <v>324</v>
      </c>
      <c r="C89" s="61">
        <f>N($C$85)+N($C$95)</f>
        <v>0</v>
      </c>
      <c r="D89" s="764">
        <f>IF(AND(QUOTE_Split_SoftwareHardware,TableQCalcMain[[#This Row],[Real_Quantity]]&gt;0,NOT(AND(SEEDLE_ChkBox_UpgradeUpdate,SEEDLE_ChkB_RemoteUpdate))),1,0)</f>
        <v>0</v>
      </c>
      <c r="E89" s="61">
        <f>IF(QUOTE_InternetDownload,0,1)</f>
        <v>1</v>
      </c>
      <c r="F89" s="61">
        <f>IF(QUOTE_InternetDownload,1,0)</f>
        <v>0</v>
      </c>
      <c r="G89" s="61">
        <f>TableQCalcMain[[#This Row],[ShowDesc?]]*TableQCalcMain[[#This Row],[Software]]</f>
        <v>0</v>
      </c>
      <c r="H89" s="61">
        <f>TableQCalcMain[[#This Row],[ShowDesc?]]*TableQCalcMain[[#This Row],[Hardware]]</f>
        <v>0</v>
      </c>
      <c r="I89" s="61" t="str">
        <f xml:space="preserve">   SUBSTITUTE(
   IF(Francais,
"Clé USB pour WinSOFTWARE" &amp; IF(TableQCalcMain[[#This Row],[Hardware]]=1," et documents d'Instructions (expédiés par transporteur)",""),
"USB drive for WinSOFTWARE" &amp; IF(TableQCalcMain[[#This Row],[Hardware]]=1," and Instructions documents (shipped by courier)","")),
   "WinSOFTWARE","Win" &amp;  LEFT(TableQCalcMain[[#This Row],[Variable / Product ID]],FIND("_",TableQCalcMain[[#This Row],[Variable / Product ID]])-1) &amp; " " &amp; INDEX(SEEDLE_UpgradeNameShort,SEEDLE_IndexSoftware))</f>
        <v>Clé USB pour WinSEEDLE Reg</v>
      </c>
      <c r="J89" s="61">
        <v>852351</v>
      </c>
      <c r="K89" s="61">
        <f>TableQCalcMain[[#This Row],[Extended_price]]</f>
        <v>0</v>
      </c>
      <c r="L89" s="61" t="str">
        <f>IF(OR(TableQCalcMain[[#This Row],[Real_Quantity]]=0,TableQCalcMain[[#This Row],[Extended_price]]=0),"",ROUND(TableQCalcMain[[#This Row],[Extended_price]]/TableQCalcMain[[#This Row],[Real_Quantity]],2))</f>
        <v/>
      </c>
      <c r="M89" s="61">
        <f>PrixUSBKey*TableQCalcMain[[#This Row],[Real_Quantity]]</f>
        <v>0</v>
      </c>
      <c r="N89" s="471"/>
      <c r="O89" s="472"/>
      <c r="P89" s="472"/>
      <c r="Q89" s="472"/>
      <c r="R89" s="472"/>
      <c r="S89" s="472"/>
      <c r="T89" s="471"/>
      <c r="U89" s="472"/>
      <c r="V89" s="472"/>
      <c r="W89" s="472"/>
      <c r="X89" s="472"/>
      <c r="Y89" s="472"/>
      <c r="Z89" s="472"/>
      <c r="AA89" s="472"/>
      <c r="AB89" s="472"/>
      <c r="AC89" s="472"/>
      <c r="AD89" s="472"/>
      <c r="AE89" s="472"/>
      <c r="AF89" s="472"/>
      <c r="AG89" s="472"/>
      <c r="AH89" s="472"/>
    </row>
    <row r="90" spans="1:34" x14ac:dyDescent="0.2">
      <c r="A90" s="768"/>
      <c r="B90" s="61" t="s">
        <v>97</v>
      </c>
      <c r="C90" s="61" t="str">
        <f>IF(NOT(QUOTE_Split_SoftwareHardware),"",C84)</f>
        <v/>
      </c>
      <c r="D90" s="61">
        <f>IF(SEEDLE_ClientWithOrWithoutScanner=1,$D$84,0)</f>
        <v>0</v>
      </c>
      <c r="E90" s="61"/>
      <c r="F90" s="61">
        <v>1</v>
      </c>
      <c r="G90" s="61">
        <f>TableQCalcMain[[#This Row],[ShowDesc?]]*TableQCalcMain[[#This Row],[Software]]</f>
        <v>0</v>
      </c>
      <c r="H90" s="61">
        <f>TableQCalcMain[[#This Row],[ShowDesc?]]*TableQCalcMain[[#This Row],[Hardware]]</f>
        <v>0</v>
      </c>
      <c r="I90" s="61" t="str">
        <f>IF(OR(SEEDLE_N_System=1,QUOTE_Split_SoftwareHardware),"","   • ") &amp; IF(SEEDLE_IndexScanner=1,
IF(Francais," Scanner STD4800: 4800 ppp, Surface de Scan 22x30cm (20x25cm avec LS)"," STD4800 Scanner: 4800 dpi, Scan Area 22x30cm (20x25cm with SL)"),
IF(Francais," Scanner LA2400: 2400 ppp, Surface de Scan 31x44cm (31x42cm avec LS)"," LA2400 Scanner: 2400 dpi, Scan Area 31x44cm (31x42cm with SL)")) &amp;REPT(" ",10) &amp; "S/N:"
&amp; SEEDLE_Serial &amp;REPT(" ",3)</f>
        <v xml:space="preserve"> Scanner STD4800: 4800 ppp, Surface de Scan 22x30cm (20x25cm avec LS)          S/N:   </v>
      </c>
      <c r="J90" s="61" t="str">
        <f>IF(QUOTE_Split_SoftwareHardware,ScannerHCode,"")</f>
        <v/>
      </c>
      <c r="K90" s="61">
        <f>IF(SEEDLE_ClientWithOrWithoutScanner=1,
   IF(Distributeurs_Rabais,
      IF(SEEDLE_IndexScanner=1,PrixSTD_Dist,IF(SEEDLE_IndexScanner=2,PrixLA_Dist,PrixLC_Dist)),
      IF(SEEDLE_IndexScanner=1,PrixSTD,          IF(SEEDLE_IndexScanner=2,PrixLA,          PrixLC))
    ),
0)
*(SEEDLE_N_System-1) -K93</f>
        <v>0</v>
      </c>
      <c r="L90" s="61">
        <f>IF(C84=0,0,ROUND(TableQCalcMain[[#This Row],[Extended_price]]/C84,2))</f>
        <v>0</v>
      </c>
      <c r="M90" s="61">
        <f>IF(NOT(QUOTE_Split_SoftwareHardware),0,TableQCalcMain[[#This Row],[Detailed_Ext_Price]]+N(K91)+K92)</f>
        <v>0</v>
      </c>
      <c r="N90" s="471"/>
      <c r="O90" s="472"/>
      <c r="P90" s="472"/>
      <c r="Q90" s="472"/>
      <c r="R90" s="472"/>
      <c r="S90" s="472"/>
      <c r="T90" s="471"/>
      <c r="U90" s="472"/>
      <c r="V90" s="472"/>
      <c r="W90" s="472"/>
      <c r="X90" s="472"/>
      <c r="Y90" s="472"/>
      <c r="Z90" s="472"/>
      <c r="AA90" s="472"/>
      <c r="AB90" s="472"/>
      <c r="AC90" s="472"/>
      <c r="AD90" s="472"/>
      <c r="AE90" s="472"/>
      <c r="AF90" s="472"/>
      <c r="AG90" s="472"/>
      <c r="AH90" s="472"/>
    </row>
    <row r="91" spans="1:34" ht="17" x14ac:dyDescent="0.2">
      <c r="A91" s="768"/>
      <c r="B91" s="61" t="s">
        <v>98</v>
      </c>
      <c r="C91" s="455" t="str">
        <f>""</f>
        <v/>
      </c>
      <c r="D91" s="61">
        <f>IF(SEEDLE_ClientWithOrWithoutScanner=1,$D$84,0)</f>
        <v>0</v>
      </c>
      <c r="E91" s="61"/>
      <c r="F91" s="61">
        <v>1</v>
      </c>
      <c r="G91" s="61">
        <f>TableQCalcMain[[#This Row],[ShowDesc?]]*TableQCalcMain[[#This Row],[Software]]</f>
        <v>0</v>
      </c>
      <c r="H91" s="61">
        <f>TableQCalcMain[[#This Row],[ShowDesc?]]*TableQCalcMain[[#This Row],[Hardware]]</f>
        <v>0</v>
      </c>
      <c r="I91" s="61" t="str">
        <f>"         " &amp; WinSEEDLE!$D$16 &amp; REPT(" ",2)&amp;REPT(" ",20) &amp; "S/N:" &amp;SEEDLE_SerialTPU</f>
        <v xml:space="preserve">         • Lumière spéciale (LS) pour scanner Racines, Graines ou Aiguilles                      S/N:</v>
      </c>
      <c r="J91" s="61" t="str">
        <f>""</f>
        <v/>
      </c>
      <c r="K91" s="473" t="str">
        <f>IF(SEEDLE_IndexScanner=1,
"incl.",
IF(Distributeurs_Rabais,PrixTPU_Dist,PrixTPU)*(SEEDLE_N_System-1))</f>
        <v>incl.</v>
      </c>
      <c r="L91" s="61" t="str">
        <f>""</f>
        <v/>
      </c>
      <c r="M91" s="61" t="str">
        <f>""</f>
        <v/>
      </c>
      <c r="N91" s="471"/>
      <c r="O91" s="472"/>
      <c r="P91" s="472"/>
      <c r="Q91" s="472"/>
      <c r="R91" s="472"/>
      <c r="S91" s="472"/>
      <c r="T91" s="471"/>
      <c r="U91" s="472"/>
      <c r="V91" s="472"/>
      <c r="W91" s="472"/>
      <c r="X91" s="472"/>
      <c r="Y91" s="472"/>
      <c r="Z91" s="472"/>
      <c r="AA91" s="472"/>
      <c r="AB91" s="472"/>
      <c r="AC91" s="472"/>
      <c r="AD91" s="472"/>
      <c r="AE91" s="472"/>
      <c r="AF91" s="472"/>
      <c r="AG91" s="472"/>
      <c r="AH91" s="472"/>
    </row>
    <row r="92" spans="1:34" ht="17" x14ac:dyDescent="0.2">
      <c r="A92" s="768"/>
      <c r="B92" s="61" t="s">
        <v>340</v>
      </c>
      <c r="C92" s="455" t="str">
        <f>IF(AND(QUOTE_Split_SoftwareHardware,SEEDLE_PosiOrBlueBG_Checkbox,NOT(SEEDLE_ClientWithOrWithoutScanner_ChkBox)),$C$84,"")</f>
        <v/>
      </c>
      <c r="D92" s="61">
        <f>IF(SEEDLE_PosiOrBlueBG_Checkbox,D84,0)</f>
        <v>0</v>
      </c>
      <c r="E92" s="61"/>
      <c r="F92" s="61">
        <v>1</v>
      </c>
      <c r="G92" s="61">
        <f>TableQCalcMain[[#This Row],[ShowDesc?]]*TableQCalcMain[[#This Row],[Software]]</f>
        <v>0</v>
      </c>
      <c r="H92" s="61">
        <f>TableQCalcMain[[#This Row],[ShowDesc?]]*TableQCalcMain[[#This Row],[Hardware]]</f>
        <v>0</v>
      </c>
      <c r="I92" s="61" t="str">
        <f>SUBSTITUTE("         " &amp; WinSEEDLE!D21,
"         • ",
IF(AND(QUOTE_Split_SoftwareHardware,NOT(SEEDLE_ClientWithOrWithoutScanner_ChkBox)),"","         • "))</f>
        <v xml:space="preserve">         • Positionneur de Graines &amp; Aiguilles pour scanner STD (3 Plats, Cadre, Blocs, Espaceurs, Fond bleu)</v>
      </c>
      <c r="J92" s="61" t="str">
        <f>IF(QUOTE_Split_SoftwareHardware,847330,"")</f>
        <v/>
      </c>
      <c r="K92" s="61">
        <f>ROUND(IF(SEEDLE_IndexScanner=1,PrixRootPosiSTD,PrixRootPosiLA)*(SEEDLE_PosiOrBlueBG_Checkbox)*(SEEDLE_N_System-1)*(1-RebateHardware*Distributeurs_Rabais),0)</f>
        <v>0</v>
      </c>
      <c r="L92" s="61">
        <f>IF(AND(QUOTE_Split_SoftwareHardware,SEEDLE_PosiOrBlueBG_Checkbox,NOT(SEEDLE_ClientWithOrWithoutScanner_ChkBox)),TableQCalcMain[[#This Row],[Detailed_Ext_Price]]/TableQCalcMain[[#This Row],[ShowDesc?]],0)</f>
        <v>0</v>
      </c>
      <c r="M92" s="61">
        <f>IF(AND(QUOTE_Split_SoftwareHardware,SEEDLE_PosiOrBlueBG_Checkbox,NOT(SEEDLE_ClientWithOrWithoutScanner_ChkBox)),TableQCalcMain[[#This Row],[Detailed_Ext_Price]],0)</f>
        <v>0</v>
      </c>
      <c r="N92" s="471"/>
      <c r="O92" s="472"/>
      <c r="P92" s="472"/>
      <c r="Q92" s="472"/>
      <c r="R92" s="472"/>
      <c r="S92" s="472"/>
      <c r="T92" s="471"/>
      <c r="U92" s="472"/>
      <c r="V92" s="472"/>
      <c r="W92" s="472"/>
      <c r="X92" s="472"/>
      <c r="Y92" s="472"/>
      <c r="Z92" s="472"/>
      <c r="AA92" s="472"/>
      <c r="AB92" s="472"/>
      <c r="AC92" s="472"/>
      <c r="AD92" s="472"/>
      <c r="AE92" s="472"/>
      <c r="AF92" s="472"/>
      <c r="AG92" s="472"/>
      <c r="AH92" s="472"/>
    </row>
    <row r="93" spans="1:34" x14ac:dyDescent="0.2">
      <c r="A93" s="768"/>
      <c r="B93" s="571" t="s">
        <v>350</v>
      </c>
      <c r="C93" s="571" t="str">
        <f>IF(AND((QUOTE_Split_SoftwareHardware),N(C85)=0),$C$84,
IF(AND(QUOTE_Split_SoftwareHardware,NOT(SEEDLE_ClientWithOrWithoutScanner_ChkBox)),$C$84,"")
)</f>
        <v/>
      </c>
      <c r="D93" s="571">
        <f>IF(AND((QUOTE_Split_SoftwareHardware),AND(NOT(SuperUser),N(D85)=0)),0,D84)</f>
        <v>0</v>
      </c>
      <c r="E93" s="538">
        <v>1</v>
      </c>
      <c r="F93" s="538">
        <v>0</v>
      </c>
      <c r="G93" s="538">
        <f>TableQCalcMain[[#This Row],[ShowDesc?]]*TableQCalcMain[[#This Row],[Software]]</f>
        <v>0</v>
      </c>
      <c r="H93" s="538">
        <f>TableQCalcMain[[#This Row],[ShowDesc?]]*TableQCalcMain[[#This Row],[Hardware]]</f>
        <v>0</v>
      </c>
      <c r="I93" s="571" t="str">
        <f>IF(AND((QUOTE_Split_SoftwareHardware),N(C85)=0),"","         • ") &amp; IF(Francais,
"Calibration Scanner, Instructions," &amp; IF(OR(LEFT(TableQCalcMain[[#This Row],[Variable / Product ID]],3)="RHI",LEFT(TableQCalcMain[[#This Row],[Variable / Product ID]],3)="SEE")," Didacticiel vidéo,","") &amp; " Pilote TWAIN " &amp; "&amp;" &amp; " Support Technique",
"Scanner Calibration, Instructions," &amp; IF(OR(LEFT(TableQCalcMain[[#This Row],[Variable / Product ID]],3)="RHI",LEFT(TableQCalcMain[[#This Row],[Variable / Product ID]],3)="SEE")," Video tutorial,","") &amp; " TWAIN driver " &amp; "&amp;" &amp; " Technical support")
&amp; IF(LEFT(TableQCalcMain[[#This Row],[Variable / Product ID]],3)="DEN",REPT(" ",0),
IF(LEFT(TableQCalcMain[[#This Row],[Variable / Product ID]],3)="RHI",REPT(" ",1),
IF(LEFT(TableQCalcMain[[#This Row],[Variable / Product ID]],3)="FOL",REPT(" ",2),
IF(LEFT(TableQCalcMain[[#This Row],[Variable / Product ID]],3)="SEE",REPT(" ",3),
IF(LEFT(TableQCalcMain[[#This Row],[Variable / Product ID]],3)="CAM",REPT(" ",4),"")))))</f>
        <v xml:space="preserve">         • Calibration Scanner, Instructions, Didacticiel vidéo, Pilote TWAIN &amp; Support Technique   </v>
      </c>
      <c r="J93" s="538" t="str">
        <f>""</f>
        <v/>
      </c>
      <c r="K93" s="538">
        <f>ROUND((IF(SEEDLE_IndexScanner=1,STD_GenCalib_Drivers_Instr_Techsup,LA_GenCalib_Drivers_Instr_Techsup))*(SEEDLE_N_System-1)*(1-RebateCalibScanner*Distributeurs_Rabais),0)</f>
        <v>0</v>
      </c>
      <c r="L93" s="538" t="str">
        <f>IF(QUOTE_Split_SoftwareHardware,TableQCalcMain[[#This Row],[Detailed_Ext_Price]]/TableQCalcMain[[#This Row],[ShowDesc?]],"")</f>
        <v/>
      </c>
      <c r="M93" s="538">
        <f>IF(QUOTE_Split_SoftwareHardware,TableQCalcMain[[#This Row],[Detailed_Ext_Price]],0)</f>
        <v>0</v>
      </c>
      <c r="N93" s="471"/>
      <c r="O93" s="472"/>
      <c r="P93" s="472"/>
      <c r="Q93" s="472"/>
      <c r="R93" s="472"/>
      <c r="S93" s="472"/>
      <c r="T93" s="471"/>
      <c r="U93" s="472"/>
      <c r="V93" s="472"/>
      <c r="W93" s="472"/>
      <c r="X93" s="472"/>
      <c r="Y93" s="472"/>
      <c r="Z93" s="472"/>
      <c r="AA93" s="472"/>
      <c r="AB93" s="472"/>
      <c r="AC93" s="472"/>
      <c r="AD93" s="472"/>
      <c r="AE93" s="472"/>
      <c r="AF93" s="472"/>
      <c r="AG93" s="472"/>
      <c r="AH93" s="472"/>
    </row>
    <row r="94" spans="1:34" x14ac:dyDescent="0.2">
      <c r="A94" s="768"/>
      <c r="B94" s="61" t="s">
        <v>345</v>
      </c>
      <c r="C94" s="455"/>
      <c r="D94" s="61"/>
      <c r="E94" s="61"/>
      <c r="F94" s="61"/>
      <c r="G94" s="61"/>
      <c r="H94" s="61"/>
      <c r="I94" s="61"/>
      <c r="J94" s="61" t="str">
        <f>""</f>
        <v/>
      </c>
      <c r="K94" s="61" t="str">
        <f>""</f>
        <v/>
      </c>
      <c r="L94" s="61" t="str">
        <f>""</f>
        <v/>
      </c>
      <c r="M94" s="61" t="str">
        <f>""</f>
        <v/>
      </c>
      <c r="N94" s="471"/>
      <c r="O94" s="472"/>
      <c r="P94" s="472"/>
      <c r="Q94" s="472"/>
      <c r="R94" s="472"/>
      <c r="S94" s="472"/>
      <c r="T94" s="471"/>
      <c r="U94" s="472"/>
      <c r="V94" s="472"/>
      <c r="W94" s="472"/>
      <c r="X94" s="472"/>
      <c r="Y94" s="472"/>
      <c r="Z94" s="472"/>
      <c r="AA94" s="472"/>
      <c r="AB94" s="472"/>
      <c r="AC94" s="472"/>
      <c r="AD94" s="472"/>
      <c r="AE94" s="472"/>
      <c r="AF94" s="472"/>
      <c r="AG94" s="472"/>
      <c r="AH94" s="472"/>
    </row>
    <row r="95" spans="1:34" x14ac:dyDescent="0.2">
      <c r="A95" s="768"/>
      <c r="B95" s="469" t="s">
        <v>75</v>
      </c>
      <c r="C95" s="61">
        <f>SEEDLE_N_UpgradeUpdate-1</f>
        <v>0</v>
      </c>
      <c r="D95" s="567">
        <f>IFERROR(IF(AND(D86=0,OR(WinSEEDLE!$G$5&gt;0,WinSEEDLE!$G$6&gt;0)),SEEDLE_N_UpgradeUpdate-1,0),0)</f>
        <v>0</v>
      </c>
      <c r="E95" s="61">
        <v>1</v>
      </c>
      <c r="F95" s="61"/>
      <c r="G95" s="61">
        <f>TableQCalcMain[[#This Row],[ShowDesc?]]*TableQCalcMain[[#This Row],[Software]]</f>
        <v>0</v>
      </c>
      <c r="H95" s="61">
        <f>TableQCalcMain[[#This Row],[ShowDesc?]]*TableQCalcMain[[#This Row],[Hardware]]</f>
        <v>0</v>
      </c>
      <c r="I95" s="469" t="str">
        <f>IF(Francais,"Mise à jour de ","Update from ") &amp;
INDEX(SEEDLE_SoftwareList,SEEDLE_IndexClientVersion) &amp; SEEDLE_YearClient &amp;
IF(Francais," à "," to ") &amp;
INDEX(SEEDLE_SoftwareList,SEEDLE_IndexSoftware) &amp; SEEDLE_YearMostRecent  &amp; " " &amp; "&amp;" &amp; " XLSeedle"
&amp;
IF(QUOTE_Split_SoftwareHardware,IF(QUOTE_InternetDownload,IF(Francais, ", Téléchargement Internet", ", Internet download"),IF(Francais, ", Envoyé par transporteur", ", Shipped by courier")),IF(Francais," sur media USB (manuels PDF &amp; imprimés)"," on USB drive (PDF &amp; printed manuals)"))</f>
        <v>Mise à jour de WinSEEDLE™ Basic 2019 à WinSEEDLE™ Reg 2025 &amp; XLSeedle sur media USB (manuels PDF &amp; imprimés)</v>
      </c>
      <c r="J95" s="61">
        <f>IF(SEEDLE_N_System&gt;1,
"",WinSEEDLE!I4)</f>
        <v>852349</v>
      </c>
      <c r="K95" s="61" t="str">
        <f>""</f>
        <v/>
      </c>
      <c r="L95" s="61" t="e">
        <f>ROUND(TableQCalcMain[[#This Row],[Extended_price]]/TableQCalcMain[[#This Row],[Real_Quantity]],2)</f>
        <v>#DIV/0!</v>
      </c>
      <c r="M95" s="764">
        <f>ROUND(IF(Distributeurs_Rabais,IFERROR(QCalc!G197,0),IFERROR(QCalc!F197,0))
-IF(AND(NOT(SEEDLE_ChkB_RemoteUpdate),QUOTE_Split_SoftwareHardware),PrixUSBKey*(SEEDLE_N_UpgradeUpdate-1),0),2)</f>
        <v>0</v>
      </c>
      <c r="N95" s="471"/>
      <c r="O95" s="472"/>
      <c r="P95" s="472"/>
      <c r="Q95" s="472"/>
      <c r="R95" s="472"/>
      <c r="S95" s="472"/>
      <c r="T95" s="471"/>
      <c r="U95" s="472"/>
      <c r="V95" s="472"/>
      <c r="W95" s="472"/>
      <c r="X95" s="472"/>
      <c r="Y95" s="472"/>
      <c r="Z95" s="472"/>
      <c r="AA95" s="472"/>
      <c r="AB95" s="472"/>
      <c r="AC95" s="472"/>
      <c r="AD95" s="472"/>
      <c r="AE95" s="472"/>
      <c r="AF95" s="472"/>
      <c r="AG95" s="472"/>
      <c r="AH95" s="472"/>
    </row>
    <row r="96" spans="1:34" x14ac:dyDescent="0.2">
      <c r="A96" s="768"/>
      <c r="B96" s="470" t="s">
        <v>334</v>
      </c>
      <c r="C96" s="61" t="str">
        <f>""</f>
        <v/>
      </c>
      <c r="D96" s="61">
        <f>IF(QUOTE_Split_SoftwareHardware,N($C$95),0)</f>
        <v>0</v>
      </c>
      <c r="E96" s="61">
        <v>1</v>
      </c>
      <c r="F96" s="61"/>
      <c r="G96" s="61">
        <f>TableQCalcMain[[#This Row],[ShowDesc?]]*TableQCalcMain[[#This Row],[Software]]</f>
        <v>0</v>
      </c>
      <c r="H96" s="61"/>
      <c r="I96" s="61" t="str">
        <f>"         • " &amp; IF(AND(QUOTE_Split_SoftwareHardware,QUOTE_InternetDownload),
IF(Francais,"Logiciels et documents d'instructions (fichiers PDF)","Software &amp; Instructions documents (PDF files)"),
IF(Francais,"Logiciel et documents d'instructions (" &amp; IF(QUOTE_InternetDownload,"sur clé USB","PDF") &amp; " et imprimés)","Software &amp; Instructions documents (" &amp; IF(QUOTE_InternetDownload,"on USB Key","PDF") &amp; " &amp; printed)"))
&amp;REPT(" ",11)</f>
        <v xml:space="preserve">         • Logiciel et documents d'instructions (PDF et imprimés)           </v>
      </c>
      <c r="J96" s="61" t="str">
        <f>""</f>
        <v/>
      </c>
      <c r="K96" s="61" t="str">
        <f>""</f>
        <v/>
      </c>
      <c r="L96" s="61" t="str">
        <f>""</f>
        <v/>
      </c>
      <c r="M96" s="61" t="str">
        <f>""</f>
        <v/>
      </c>
      <c r="N96" s="471"/>
      <c r="O96" s="472"/>
      <c r="P96" s="472"/>
      <c r="Q96" s="472"/>
      <c r="R96" s="472"/>
      <c r="S96" s="472"/>
      <c r="T96" s="471"/>
      <c r="U96" s="472"/>
      <c r="V96" s="472"/>
      <c r="W96" s="472"/>
      <c r="X96" s="472"/>
      <c r="Y96" s="472"/>
      <c r="Z96" s="472"/>
      <c r="AA96" s="472"/>
      <c r="AB96" s="472"/>
      <c r="AC96" s="472"/>
      <c r="AD96" s="472"/>
      <c r="AE96" s="472"/>
      <c r="AF96" s="472"/>
      <c r="AG96" s="472"/>
      <c r="AH96" s="472"/>
    </row>
    <row r="97" spans="1:34" x14ac:dyDescent="0.2">
      <c r="A97" s="768"/>
      <c r="B97" s="538" t="str">
        <f>B93&amp;"Upd"</f>
        <v>SEEDLE System Calib ManualUpd</v>
      </c>
      <c r="C97" s="538" t="str">
        <f>""</f>
        <v/>
      </c>
      <c r="D97" s="764">
        <f>IF(AND(D84&gt;0,D85=0),IF(NOT(AND(SEEDLE_ChkBox_UpgradeUpdate,SEEDLE_ChkB_RemoteUpdate,QUOTE_Split_SoftwareHardware)),D89,1),0)</f>
        <v>0</v>
      </c>
      <c r="E97" s="538">
        <v>1</v>
      </c>
      <c r="F97" s="538">
        <v>0</v>
      </c>
      <c r="G97" s="538">
        <f>TableQCalcMain[[#This Row],[ShowDesc?]]*TableQCalcMain[[#This Row],[Software]]</f>
        <v>0</v>
      </c>
      <c r="H97" s="538">
        <f>TableQCalcMain[[#This Row],[ShowDesc?]]*TableQCalcMain[[#This Row],[Hardware]]</f>
        <v>0</v>
      </c>
      <c r="I97" s="538" t="str">
        <f>"         • " &amp; IF(Francais,
"Calibration Scanner, Instructions," &amp; IF(OR(LEFT(TableQCalcMain[[#This Row],[Variable / Product ID]],3)="RHI",LEFT(TableQCalcMain[[#This Row],[Variable / Product ID]],3)="SEE")," Didacticiel vidéo,","") &amp; " Pilote TWAIN " &amp; "&amp;" &amp; " Support Technique",
"Scanner Calibration, Instructions," &amp; IF(OR(LEFT(TableQCalcMain[[#This Row],[Variable / Product ID]],3)="RHI",LEFT(TableQCalcMain[[#This Row],[Variable / Product ID]],3)="SEE")," Video tutorial,","") &amp; " TWAIN driver " &amp; "&amp;" &amp; " Technical support")
&amp; IF(LEFT(TableQCalcMain[[#This Row],[Variable / Product ID]],3)="DEN",REPT(" ",5),
IF(LEFT(TableQCalcMain[[#This Row],[Variable / Product ID]],3)="RHI",REPT(" ",6),
IF(LEFT(TableQCalcMain[[#This Row],[Variable / Product ID]],3)="FOL",REPT(" ",7),
IF(LEFT(TableQCalcMain[[#This Row],[Variable / Product ID]],3)="SEE",REPT(" ",8),
IF(LEFT(TableQCalcMain[[#This Row],[Variable / Product ID]],3)="CAM",REPT(" ",9),"")))))</f>
        <v xml:space="preserve">         • Calibration Scanner, Instructions, Didacticiel vidéo, Pilote TWAIN &amp; Support Technique        </v>
      </c>
      <c r="J97" s="538" t="str">
        <f>J93</f>
        <v/>
      </c>
      <c r="K97" s="538">
        <f t="shared" ref="K97:M97" si="3">K93</f>
        <v>0</v>
      </c>
      <c r="L97" s="538" t="str">
        <f>IF(QUOTE_Split_SoftwareHardware,TableQCalcMain[[#This Row],[Detailed_Ext_Price]]/TableQCalcMain[[#This Row],[ShowDesc?]],"")</f>
        <v/>
      </c>
      <c r="M97" s="538">
        <f t="shared" si="3"/>
        <v>0</v>
      </c>
      <c r="N97" s="471"/>
      <c r="O97" s="472"/>
      <c r="P97" s="472"/>
      <c r="Q97" s="472"/>
      <c r="R97" s="472"/>
      <c r="S97" s="472"/>
      <c r="T97" s="471"/>
      <c r="U97" s="472"/>
      <c r="V97" s="472"/>
      <c r="W97" s="472"/>
      <c r="X97" s="472"/>
      <c r="Y97" s="472"/>
      <c r="Z97" s="472"/>
      <c r="AA97" s="472"/>
      <c r="AB97" s="472"/>
      <c r="AC97" s="472"/>
      <c r="AD97" s="472"/>
      <c r="AE97" s="472"/>
      <c r="AF97" s="472"/>
      <c r="AG97" s="472"/>
      <c r="AH97" s="472"/>
    </row>
    <row r="98" spans="1:34" ht="17" x14ac:dyDescent="0.2">
      <c r="A98" s="768"/>
      <c r="B98" s="61" t="s">
        <v>76</v>
      </c>
      <c r="C98" s="61">
        <f>IF(TableQCalcMain[[#This Row],[Unit_Price]]&gt;0,TableQCalcMain[[#This Row],[ShowDesc?]],0)</f>
        <v>0</v>
      </c>
      <c r="D98" s="61">
        <f>IF(TableQCalcMain[[#This Row],[Unit_Price]]&gt;0,SEEDLE_Option1-1,0)</f>
        <v>0</v>
      </c>
      <c r="E98" s="61"/>
      <c r="F98" s="61">
        <v>1</v>
      </c>
      <c r="G98" s="61">
        <f>TableQCalcMain[[#This Row],[ShowDesc?]]*TableQCalcMain[[#This Row],[Software]]</f>
        <v>0</v>
      </c>
      <c r="H98" s="61">
        <f>TableQCalcMain[[#This Row],[ShowDesc?]]*TableQCalcMain[[#This Row],[Hardware]]</f>
        <v>0</v>
      </c>
      <c r="I98" s="61" t="str">
        <f>LEFT(WinSEEDLE!D24,SEARCH(" cm",WinSEEDLE!D24)+2) &amp; REPT(" ",1) &amp;TextTrayWarranty</f>
        <v>Ensemble de 2 Petits plats                                    15x20, 20x25 cm  Garantie 30 jours, à inspecter à la réception</v>
      </c>
      <c r="J98" s="61">
        <f>WinSEEDLE!$I$22</f>
        <v>847330</v>
      </c>
      <c r="K98" s="61" t="str">
        <f>""</f>
        <v/>
      </c>
      <c r="L98" s="61">
        <f>ROUND(
IF(Distributeurs_Rabais,IFERROR(WinSEEDLE!#REF!,0),WinSEEDLE!G24),
2)</f>
        <v>171</v>
      </c>
      <c r="M98" s="455" t="str">
        <f>IFERROR(
IF(TableQCalcMain[[#This Row],[Unit_Price]]*TableQCalcMain[[#This Row],[Real_Quantity]]&gt;0,
TableQCalcMain[[#This Row],[Unit_Price]]*TableQCalcMain[[#This Row],[Real_Quantity]],""),"")</f>
        <v/>
      </c>
      <c r="N98" s="471"/>
      <c r="O98" s="472"/>
      <c r="P98" s="472"/>
      <c r="Q98" s="472"/>
      <c r="R98" s="472"/>
      <c r="S98" s="472"/>
      <c r="T98" s="471"/>
      <c r="U98" s="472"/>
      <c r="V98" s="472"/>
      <c r="W98" s="472"/>
      <c r="X98" s="472"/>
      <c r="Y98" s="472"/>
      <c r="Z98" s="472"/>
      <c r="AA98" s="472"/>
      <c r="AB98" s="472"/>
      <c r="AC98" s="472"/>
      <c r="AD98" s="472"/>
      <c r="AE98" s="472"/>
      <c r="AF98" s="472"/>
      <c r="AG98" s="472"/>
      <c r="AH98" s="472"/>
    </row>
    <row r="99" spans="1:34" ht="17" x14ac:dyDescent="0.2">
      <c r="A99" s="768"/>
      <c r="B99" s="61" t="s">
        <v>77</v>
      </c>
      <c r="C99" s="61">
        <f>IF(TableQCalcMain[[#This Row],[Unit_Price]]&gt;0,TableQCalcMain[[#This Row],[ShowDesc?]],0)</f>
        <v>0</v>
      </c>
      <c r="D99" s="61">
        <f>IF(TableQCalcMain[[#This Row],[Unit_Price]]&gt;0,SEEDLE_Option2-1,0)</f>
        <v>0</v>
      </c>
      <c r="E99" s="61"/>
      <c r="F99" s="61">
        <v>1</v>
      </c>
      <c r="G99" s="61">
        <f>TableQCalcMain[[#This Row],[ShowDesc?]]*TableQCalcMain[[#This Row],[Software]]</f>
        <v>0</v>
      </c>
      <c r="H99" s="61">
        <f>TableQCalcMain[[#This Row],[ShowDesc?]]*TableQCalcMain[[#This Row],[Hardware]]</f>
        <v>0</v>
      </c>
      <c r="I99" s="61" t="str">
        <f>LEFT(WinSEEDLE!D25,SEARCH(" cm",WinSEEDLE!D25)+2) &amp; REPT(" ",1)&amp;TextTrayWarranty</f>
        <v>Ensemble de 3 Petits plats                                    10x15, 15x20, 20x25 cm  Garantie 30 jours, à inspecter à la réception</v>
      </c>
      <c r="J99" s="61">
        <f>WinSEEDLE!$I$22</f>
        <v>847330</v>
      </c>
      <c r="K99" s="61" t="str">
        <f>""</f>
        <v/>
      </c>
      <c r="L99" s="61">
        <f>ROUND(
IF(Distributeurs_Rabais,IFERROR(WinSEEDLE!#REF!,0),WinSEEDLE!G25),
2)</f>
        <v>250</v>
      </c>
      <c r="M99" s="455" t="str">
        <f>IFERROR(
IF(TableQCalcMain[[#This Row],[Unit_Price]]*TableQCalcMain[[#This Row],[Real_Quantity]]&gt;0,
TableQCalcMain[[#This Row],[Unit_Price]]*TableQCalcMain[[#This Row],[Real_Quantity]],""),"")</f>
        <v/>
      </c>
      <c r="N99" s="471"/>
      <c r="O99" s="472"/>
      <c r="P99" s="472"/>
      <c r="Q99" s="472"/>
      <c r="R99" s="472"/>
      <c r="S99" s="472"/>
      <c r="T99" s="471"/>
      <c r="U99" s="472"/>
      <c r="V99" s="472"/>
      <c r="W99" s="472"/>
      <c r="X99" s="472"/>
      <c r="Y99" s="472"/>
      <c r="Z99" s="472"/>
      <c r="AA99" s="472"/>
      <c r="AB99" s="472"/>
      <c r="AC99" s="472"/>
      <c r="AD99" s="472"/>
      <c r="AE99" s="472"/>
      <c r="AF99" s="472"/>
      <c r="AG99" s="472"/>
      <c r="AH99" s="472"/>
    </row>
    <row r="100" spans="1:34" ht="17" x14ac:dyDescent="0.2">
      <c r="A100" s="768"/>
      <c r="B100" s="61" t="s">
        <v>78</v>
      </c>
      <c r="C100" s="61">
        <f>IF(TableQCalcMain[[#This Row],[Unit_Price]]&gt;0,TableQCalcMain[[#This Row],[ShowDesc?]],0)</f>
        <v>0</v>
      </c>
      <c r="D100" s="61">
        <f>IF(TableQCalcMain[[#This Row],[Unit_Price]]&gt;0,SEEDLE_Option3-1,0)</f>
        <v>0</v>
      </c>
      <c r="E100" s="61"/>
      <c r="F100" s="61">
        <v>1</v>
      </c>
      <c r="G100" s="61">
        <f>TableQCalcMain[[#This Row],[ShowDesc?]]*TableQCalcMain[[#This Row],[Software]]</f>
        <v>0</v>
      </c>
      <c r="H100" s="61">
        <f>TableQCalcMain[[#This Row],[ShowDesc?]]*TableQCalcMain[[#This Row],[Hardware]]</f>
        <v>0</v>
      </c>
      <c r="I100" s="61" t="str">
        <f>LEFT(WinSEEDLE!D26,SEARCH(" cm",WinSEEDLE!D26)+2) &amp; REPT(" ",1)&amp;TextTrayWarranty</f>
        <v>Petit plat individuel                                                10x15 cm  Garantie 30 jours, à inspecter à la réception</v>
      </c>
      <c r="J100" s="61">
        <f>WinSEEDLE!$I$22</f>
        <v>847330</v>
      </c>
      <c r="K100" s="61" t="str">
        <f>""</f>
        <v/>
      </c>
      <c r="L100" s="61">
        <f>ROUND(
IF(Distributeurs_Rabais,IFERROR(WinSEEDLE!#REF!,0),WinSEEDLE!G26),
2)</f>
        <v>78</v>
      </c>
      <c r="M100" s="455" t="str">
        <f>IFERROR(
IF(TableQCalcMain[[#This Row],[Unit_Price]]*TableQCalcMain[[#This Row],[Real_Quantity]]&gt;0,
TableQCalcMain[[#This Row],[Unit_Price]]*TableQCalcMain[[#This Row],[Real_Quantity]],""),"")</f>
        <v/>
      </c>
      <c r="N100" s="471"/>
      <c r="O100" s="472"/>
      <c r="P100" s="472"/>
      <c r="Q100" s="472"/>
      <c r="R100" s="472"/>
      <c r="S100" s="472"/>
      <c r="T100" s="471"/>
      <c r="U100" s="472"/>
      <c r="V100" s="472"/>
      <c r="W100" s="472"/>
      <c r="X100" s="472"/>
      <c r="Y100" s="472"/>
      <c r="Z100" s="472"/>
      <c r="AA100" s="472"/>
      <c r="AB100" s="472"/>
      <c r="AC100" s="472"/>
      <c r="AD100" s="472"/>
      <c r="AE100" s="472"/>
      <c r="AF100" s="472"/>
      <c r="AG100" s="472"/>
      <c r="AH100" s="472"/>
    </row>
    <row r="101" spans="1:34" ht="17" x14ac:dyDescent="0.2">
      <c r="A101" s="768"/>
      <c r="B101" s="61" t="s">
        <v>79</v>
      </c>
      <c r="C101" s="61">
        <f>IF(TableQCalcMain[[#This Row],[Unit_Price]]&gt;0,TableQCalcMain[[#This Row],[ShowDesc?]],0)</f>
        <v>0</v>
      </c>
      <c r="D101" s="61">
        <f>IF(TableQCalcMain[[#This Row],[Unit_Price]]&gt;0,SEEDLE_Option4-1,0)</f>
        <v>0</v>
      </c>
      <c r="E101" s="61"/>
      <c r="F101" s="61">
        <v>1</v>
      </c>
      <c r="G101" s="61">
        <f>TableQCalcMain[[#This Row],[ShowDesc?]]*TableQCalcMain[[#This Row],[Software]]</f>
        <v>0</v>
      </c>
      <c r="H101" s="61">
        <f>TableQCalcMain[[#This Row],[ShowDesc?]]*TableQCalcMain[[#This Row],[Hardware]]</f>
        <v>0</v>
      </c>
      <c r="I101" s="61" t="str">
        <f>LEFT(WinSEEDLE!D27,SEARCH(" cm",WinSEEDLE!D27)+2) &amp; REPT(" ",1)&amp;TextTrayWarranty</f>
        <v>Petit plat individuel                                                15x20 cm  Garantie 30 jours, à inspecter à la réception</v>
      </c>
      <c r="J101" s="61">
        <f>WinSEEDLE!$I$22</f>
        <v>847330</v>
      </c>
      <c r="K101" s="61" t="str">
        <f>""</f>
        <v/>
      </c>
      <c r="L101" s="61">
        <f>ROUND(
IF(Distributeurs_Rabais,IFERROR(WinSEEDLE!#REF!,0),WinSEEDLE!G27),
2)</f>
        <v>85</v>
      </c>
      <c r="M101" s="455" t="str">
        <f>IFERROR(
IF(TableQCalcMain[[#This Row],[Unit_Price]]*TableQCalcMain[[#This Row],[Real_Quantity]]&gt;0,
TableQCalcMain[[#This Row],[Unit_Price]]*TableQCalcMain[[#This Row],[Real_Quantity]],""),"")</f>
        <v/>
      </c>
      <c r="N101" s="471"/>
      <c r="O101" s="472"/>
      <c r="P101" s="472"/>
      <c r="Q101" s="472"/>
      <c r="R101" s="472"/>
      <c r="S101" s="472"/>
      <c r="T101" s="471"/>
      <c r="U101" s="472"/>
      <c r="V101" s="472"/>
      <c r="W101" s="472"/>
      <c r="X101" s="472"/>
      <c r="Y101" s="472"/>
      <c r="Z101" s="472"/>
      <c r="AA101" s="472"/>
      <c r="AB101" s="472"/>
      <c r="AC101" s="472"/>
      <c r="AD101" s="472"/>
      <c r="AE101" s="472"/>
      <c r="AF101" s="472"/>
      <c r="AG101" s="472"/>
      <c r="AH101" s="472"/>
    </row>
    <row r="102" spans="1:34" ht="17" x14ac:dyDescent="0.2">
      <c r="A102" s="768"/>
      <c r="B102" s="61" t="s">
        <v>219</v>
      </c>
      <c r="C102" s="61">
        <f>IF(TableQCalcMain[[#This Row],[Unit_Price]]&gt;0,TableQCalcMain[[#This Row],[ShowDesc?]],0)</f>
        <v>0</v>
      </c>
      <c r="D102" s="61">
        <f>IF(TableQCalcMain[[#This Row],[Unit_Price]]&gt;0,SEEDLE_Option5-1,0)</f>
        <v>0</v>
      </c>
      <c r="E102" s="61"/>
      <c r="F102" s="61">
        <v>1</v>
      </c>
      <c r="G102" s="61">
        <f>TableQCalcMain[[#This Row],[ShowDesc?]]*TableQCalcMain[[#This Row],[Software]]</f>
        <v>0</v>
      </c>
      <c r="H102" s="61">
        <f>TableQCalcMain[[#This Row],[ShowDesc?]]*TableQCalcMain[[#This Row],[Hardware]]</f>
        <v>0</v>
      </c>
      <c r="I102" s="61" t="str">
        <f>LEFT(WinSEEDLE!D28,SEARCH(" cm",WinSEEDLE!D28)+2) &amp; REPT(" ",1)&amp;TextTrayWarranty</f>
        <v>Petit plat individuel                                                20x25 cm  Garantie 30 jours, à inspecter à la réception</v>
      </c>
      <c r="J102" s="61">
        <f>WinSEEDLE!$I$22</f>
        <v>847330</v>
      </c>
      <c r="K102" s="61" t="str">
        <f>""</f>
        <v/>
      </c>
      <c r="L102" s="61">
        <f>ROUND(
IF(Distributeurs_Rabais,IFERROR(WinSEEDLE!#REF!,0),WinSEEDLE!G28),
2)</f>
        <v>92</v>
      </c>
      <c r="M102" s="455" t="str">
        <f>IFERROR(
IF(TableQCalcMain[[#This Row],[Unit_Price]]*TableQCalcMain[[#This Row],[Real_Quantity]]&gt;0,
TableQCalcMain[[#This Row],[Unit_Price]]*TableQCalcMain[[#This Row],[Real_Quantity]],""),"")</f>
        <v/>
      </c>
      <c r="N102" s="471"/>
      <c r="O102" s="472"/>
      <c r="P102" s="472"/>
      <c r="Q102" s="472"/>
      <c r="R102" s="472"/>
      <c r="S102" s="472"/>
      <c r="T102" s="471"/>
      <c r="U102" s="472"/>
      <c r="V102" s="472"/>
      <c r="W102" s="472"/>
      <c r="X102" s="472"/>
      <c r="Y102" s="472"/>
      <c r="Z102" s="472"/>
      <c r="AA102" s="472"/>
      <c r="AB102" s="472"/>
      <c r="AC102" s="472"/>
      <c r="AD102" s="472"/>
      <c r="AE102" s="472"/>
      <c r="AF102" s="472"/>
      <c r="AG102" s="472"/>
      <c r="AH102" s="472"/>
    </row>
    <row r="103" spans="1:34" ht="17" x14ac:dyDescent="0.2">
      <c r="A103" s="768"/>
      <c r="B103" s="61" t="s">
        <v>228</v>
      </c>
      <c r="C103" s="61">
        <f>IF(TableQCalcMain[[#This Row],[Unit_Price]]&gt;0,TableQCalcMain[[#This Row],[ShowDesc?]],0)</f>
        <v>0</v>
      </c>
      <c r="D103" s="61">
        <f>IF(TableQCalcMain[[#This Row],[Unit_Price]]&gt;0,SEEDLE_Option6-1,0)</f>
        <v>0</v>
      </c>
      <c r="E103" s="61"/>
      <c r="F103" s="61">
        <v>1</v>
      </c>
      <c r="G103" s="61">
        <f>TableQCalcMain[[#This Row],[ShowDesc?]]*TableQCalcMain[[#This Row],[Software]]</f>
        <v>0</v>
      </c>
      <c r="H103" s="61">
        <f>TableQCalcMain[[#This Row],[ShowDesc?]]*TableQCalcMain[[#This Row],[Hardware]]</f>
        <v>0</v>
      </c>
      <c r="I103" s="61" t="str">
        <f>LEFT(WinSEEDLE!D29,SEARCH(" cm",WinSEEDLE!D29)+2) &amp; REPT(" ",1)&amp;TextTrayWarranty</f>
        <v>Ensemble de 2 Moyens &amp; Larges plats                25x35, 30x40 cm  Garantie 30 jours, à inspecter à la réception</v>
      </c>
      <c r="J103" s="61">
        <f>WinSEEDLE!$I$22</f>
        <v>847330</v>
      </c>
      <c r="K103" s="61" t="str">
        <f>""</f>
        <v/>
      </c>
      <c r="L103" s="61">
        <f>ROUND(
IF(Distributeurs_Rabais,IFERROR(WinSEEDLE!#REF!,0),WinSEEDLE!G29),
2)</f>
        <v>0</v>
      </c>
      <c r="M103" s="455" t="str">
        <f>IFERROR(
IF(TableQCalcMain[[#This Row],[Unit_Price]]*TableQCalcMain[[#This Row],[Real_Quantity]]&gt;0,
TableQCalcMain[[#This Row],[Unit_Price]]*TableQCalcMain[[#This Row],[Real_Quantity]],""),"")</f>
        <v/>
      </c>
      <c r="N103" s="471"/>
      <c r="O103" s="472"/>
      <c r="P103" s="472"/>
      <c r="Q103" s="472"/>
      <c r="R103" s="472"/>
      <c r="S103" s="472"/>
      <c r="T103" s="471"/>
      <c r="U103" s="472"/>
      <c r="V103" s="472"/>
      <c r="W103" s="472"/>
      <c r="X103" s="472"/>
      <c r="Y103" s="472"/>
      <c r="Z103" s="472"/>
      <c r="AA103" s="472"/>
      <c r="AB103" s="472"/>
      <c r="AC103" s="472"/>
      <c r="AD103" s="472"/>
      <c r="AE103" s="472"/>
      <c r="AF103" s="472"/>
      <c r="AG103" s="472"/>
      <c r="AH103" s="472"/>
    </row>
    <row r="104" spans="1:34" ht="17" x14ac:dyDescent="0.2">
      <c r="A104" s="768"/>
      <c r="B104" s="61" t="s">
        <v>229</v>
      </c>
      <c r="C104" s="61">
        <f>IF(TableQCalcMain[[#This Row],[Unit_Price]]&gt;0,TableQCalcMain[[#This Row],[ShowDesc?]],0)</f>
        <v>0</v>
      </c>
      <c r="D104" s="61">
        <f>IF(TableQCalcMain[[#This Row],[Unit_Price]]&gt;0,SEEDLE_Option7-1,0)</f>
        <v>0</v>
      </c>
      <c r="E104" s="61"/>
      <c r="F104" s="61">
        <v>1</v>
      </c>
      <c r="G104" s="61">
        <f>TableQCalcMain[[#This Row],[ShowDesc?]]*TableQCalcMain[[#This Row],[Software]]</f>
        <v>0</v>
      </c>
      <c r="H104" s="61">
        <f>TableQCalcMain[[#This Row],[ShowDesc?]]*TableQCalcMain[[#This Row],[Hardware]]</f>
        <v>0</v>
      </c>
      <c r="I104" s="61" t="str">
        <f>LEFT(WinSEEDLE!D30,SEARCH(" cm",WinSEEDLE!D30)+2) &amp; REPT(" ",1)&amp;TextTrayWarranty</f>
        <v>Ensemble de 3 Moyens &amp; Larges plats                20x30, 25x35, 30x40 cm  Garantie 30 jours, à inspecter à la réception</v>
      </c>
      <c r="J104" s="61">
        <f>WinSEEDLE!$I$22</f>
        <v>847330</v>
      </c>
      <c r="K104" s="61" t="str">
        <f>""</f>
        <v/>
      </c>
      <c r="L104" s="61">
        <f>ROUND(
IF(Distributeurs_Rabais,IFERROR(WinSEEDLE!#REF!,0),WinSEEDLE!G30),
2)</f>
        <v>0</v>
      </c>
      <c r="M104" s="455" t="str">
        <f>IFERROR(
IF(TableQCalcMain[[#This Row],[Unit_Price]]*TableQCalcMain[[#This Row],[Real_Quantity]]&gt;0,
TableQCalcMain[[#This Row],[Unit_Price]]*TableQCalcMain[[#This Row],[Real_Quantity]],""),"")</f>
        <v/>
      </c>
      <c r="N104" s="471"/>
      <c r="O104" s="472"/>
      <c r="P104" s="472"/>
      <c r="Q104" s="472"/>
      <c r="R104" s="472"/>
      <c r="S104" s="472"/>
      <c r="T104" s="471"/>
      <c r="U104" s="472"/>
      <c r="V104" s="472"/>
      <c r="W104" s="472"/>
      <c r="X104" s="472"/>
      <c r="Y104" s="472"/>
      <c r="Z104" s="472"/>
      <c r="AA104" s="472"/>
      <c r="AB104" s="472"/>
      <c r="AC104" s="472"/>
      <c r="AD104" s="472"/>
      <c r="AE104" s="472"/>
      <c r="AF104" s="472"/>
      <c r="AG104" s="472"/>
      <c r="AH104" s="472"/>
    </row>
    <row r="105" spans="1:34" ht="17" x14ac:dyDescent="0.2">
      <c r="A105" s="768"/>
      <c r="B105" s="61" t="s">
        <v>230</v>
      </c>
      <c r="C105" s="61">
        <f>IF(TableQCalcMain[[#This Row],[Unit_Price]]&gt;0,TableQCalcMain[[#This Row],[ShowDesc?]],0)</f>
        <v>0</v>
      </c>
      <c r="D105" s="61">
        <f>IF(TableQCalcMain[[#This Row],[Unit_Price]]&gt;0,SEEDLE_Option8-1,0)</f>
        <v>0</v>
      </c>
      <c r="E105" s="61"/>
      <c r="F105" s="61">
        <v>1</v>
      </c>
      <c r="G105" s="61">
        <f>TableQCalcMain[[#This Row],[ShowDesc?]]*TableQCalcMain[[#This Row],[Software]]</f>
        <v>0</v>
      </c>
      <c r="H105" s="61">
        <f>TableQCalcMain[[#This Row],[ShowDesc?]]*TableQCalcMain[[#This Row],[Hardware]]</f>
        <v>0</v>
      </c>
      <c r="I105" s="61" t="str">
        <f>LEFT(WinSEEDLE!D31,SEARCH(" cm",WinSEEDLE!D31)+2) &amp; REPT(" ",1)&amp;TextTrayWarranty</f>
        <v>Ensemble 5 Petits Moyens Larges plats              10x15, 15x20, 20x30, 25x35, 30x40 cm  Garantie 30 jours, à inspecter à la réception</v>
      </c>
      <c r="J105" s="61">
        <f>WinSEEDLE!$I$22</f>
        <v>847330</v>
      </c>
      <c r="K105" s="61" t="str">
        <f>""</f>
        <v/>
      </c>
      <c r="L105" s="61">
        <f>ROUND(
IF(Distributeurs_Rabais,IFERROR(WinSEEDLE!#REF!,0),WinSEEDLE!G31),
2)</f>
        <v>0</v>
      </c>
      <c r="M105" s="455" t="str">
        <f>IFERROR(
IF(TableQCalcMain[[#This Row],[Unit_Price]]*TableQCalcMain[[#This Row],[Real_Quantity]]&gt;0,
TableQCalcMain[[#This Row],[Unit_Price]]*TableQCalcMain[[#This Row],[Real_Quantity]],""),"")</f>
        <v/>
      </c>
      <c r="N105" s="471"/>
      <c r="O105" s="472"/>
      <c r="P105" s="472"/>
      <c r="Q105" s="472"/>
      <c r="R105" s="472"/>
      <c r="S105" s="472"/>
      <c r="T105" s="471"/>
      <c r="U105" s="472"/>
      <c r="V105" s="472"/>
      <c r="W105" s="472"/>
      <c r="X105" s="472"/>
      <c r="Y105" s="472"/>
      <c r="Z105" s="472"/>
      <c r="AA105" s="472"/>
      <c r="AB105" s="472"/>
      <c r="AC105" s="472"/>
      <c r="AD105" s="472"/>
      <c r="AE105" s="472"/>
      <c r="AF105" s="472"/>
      <c r="AG105" s="472"/>
      <c r="AH105" s="472"/>
    </row>
    <row r="106" spans="1:34" ht="17" x14ac:dyDescent="0.2">
      <c r="A106" s="768"/>
      <c r="B106" s="61" t="s">
        <v>231</v>
      </c>
      <c r="C106" s="61">
        <f>IF(TableQCalcMain[[#This Row],[Unit_Price]]&gt;0,TableQCalcMain[[#This Row],[ShowDesc?]],0)</f>
        <v>0</v>
      </c>
      <c r="D106" s="61">
        <f>IF(TableQCalcMain[[#This Row],[Unit_Price]]&gt;0,SEEDLE_Option9-1,0)</f>
        <v>0</v>
      </c>
      <c r="E106" s="61"/>
      <c r="F106" s="61">
        <v>1</v>
      </c>
      <c r="G106" s="61">
        <f>TableQCalcMain[[#This Row],[ShowDesc?]]*TableQCalcMain[[#This Row],[Software]]</f>
        <v>0</v>
      </c>
      <c r="H106" s="61">
        <f>TableQCalcMain[[#This Row],[ShowDesc?]]*TableQCalcMain[[#This Row],[Hardware]]</f>
        <v>0</v>
      </c>
      <c r="I106" s="61" t="str">
        <f>LEFT(WinSEEDLE!D32,SEARCH(" cm",WinSEEDLE!D32)+2) &amp; REPT(" ",1)&amp;TextTrayWarranty</f>
        <v>Moyen plat individuel                                            20x30 cm  Garantie 30 jours, à inspecter à la réception</v>
      </c>
      <c r="J106" s="61">
        <f>WinSEEDLE!$I$22</f>
        <v>847330</v>
      </c>
      <c r="K106" s="61" t="str">
        <f>""</f>
        <v/>
      </c>
      <c r="L106" s="61">
        <f>ROUND(
IF(Distributeurs_Rabais,IFERROR(WinSEEDLE!#REF!,0),WinSEEDLE!G32),
2)</f>
        <v>0</v>
      </c>
      <c r="M106" s="455" t="str">
        <f>IFERROR(
IF(TableQCalcMain[[#This Row],[Unit_Price]]*TableQCalcMain[[#This Row],[Real_Quantity]]&gt;0,
TableQCalcMain[[#This Row],[Unit_Price]]*TableQCalcMain[[#This Row],[Real_Quantity]],""),"")</f>
        <v/>
      </c>
      <c r="N106" s="471"/>
      <c r="O106" s="472"/>
      <c r="P106" s="472"/>
      <c r="Q106" s="472"/>
      <c r="R106" s="472"/>
      <c r="S106" s="472"/>
      <c r="T106" s="471"/>
      <c r="U106" s="472"/>
      <c r="V106" s="472"/>
      <c r="W106" s="472"/>
      <c r="X106" s="472"/>
      <c r="Y106" s="472"/>
      <c r="Z106" s="472"/>
      <c r="AA106" s="472"/>
      <c r="AB106" s="472"/>
      <c r="AC106" s="472"/>
      <c r="AD106" s="472"/>
      <c r="AE106" s="472"/>
      <c r="AF106" s="472"/>
      <c r="AG106" s="472"/>
      <c r="AH106" s="472"/>
    </row>
    <row r="107" spans="1:34" ht="17" x14ac:dyDescent="0.2">
      <c r="A107" s="768"/>
      <c r="B107" s="61" t="s">
        <v>232</v>
      </c>
      <c r="C107" s="61">
        <f>IF(TableQCalcMain[[#This Row],[Unit_Price]]&gt;0,TableQCalcMain[[#This Row],[ShowDesc?]],0)</f>
        <v>0</v>
      </c>
      <c r="D107" s="61">
        <f>IF(TableQCalcMain[[#This Row],[Unit_Price]]&gt;0,SEEDLE_Option10-1,0)</f>
        <v>0</v>
      </c>
      <c r="E107" s="61"/>
      <c r="F107" s="61">
        <v>1</v>
      </c>
      <c r="G107" s="61">
        <f>TableQCalcMain[[#This Row],[ShowDesc?]]*TableQCalcMain[[#This Row],[Software]]</f>
        <v>0</v>
      </c>
      <c r="H107" s="61">
        <f>TableQCalcMain[[#This Row],[ShowDesc?]]*TableQCalcMain[[#This Row],[Hardware]]</f>
        <v>0</v>
      </c>
      <c r="I107" s="61" t="str">
        <f>LEFT(WinSEEDLE!D33,SEARCH(" cm",WinSEEDLE!D33)+2) &amp; REPT(" ",1)&amp;TextTrayWarranty</f>
        <v>Moyen plat individuel                                            25x35 cm  Garantie 30 jours, à inspecter à la réception</v>
      </c>
      <c r="J107" s="61">
        <f>WinSEEDLE!$I$22</f>
        <v>847330</v>
      </c>
      <c r="K107" s="61" t="str">
        <f>""</f>
        <v/>
      </c>
      <c r="L107" s="61">
        <f>ROUND(
IF(Distributeurs_Rabais,IFERROR(WinSEEDLE!#REF!,0),WinSEEDLE!G33),
2)</f>
        <v>0</v>
      </c>
      <c r="M107" s="455" t="str">
        <f>IFERROR(
IF(TableQCalcMain[[#This Row],[Unit_Price]]*TableQCalcMain[[#This Row],[Real_Quantity]]&gt;0,
TableQCalcMain[[#This Row],[Unit_Price]]*TableQCalcMain[[#This Row],[Real_Quantity]],""),"")</f>
        <v/>
      </c>
      <c r="N107" s="471"/>
      <c r="O107" s="472"/>
      <c r="P107" s="472"/>
      <c r="Q107" s="472"/>
      <c r="R107" s="472"/>
      <c r="S107" s="472"/>
      <c r="T107" s="471"/>
      <c r="U107" s="472"/>
      <c r="V107" s="472"/>
      <c r="W107" s="472"/>
      <c r="X107" s="472"/>
      <c r="Y107" s="472"/>
      <c r="Z107" s="472"/>
      <c r="AA107" s="472"/>
      <c r="AB107" s="472"/>
      <c r="AC107" s="472"/>
      <c r="AD107" s="472"/>
      <c r="AE107" s="472"/>
      <c r="AF107" s="472"/>
      <c r="AG107" s="472"/>
      <c r="AH107" s="472"/>
    </row>
    <row r="108" spans="1:34" ht="17" x14ac:dyDescent="0.2">
      <c r="A108" s="768"/>
      <c r="B108" s="61" t="s">
        <v>233</v>
      </c>
      <c r="C108" s="61">
        <f>IF(TableQCalcMain[[#This Row],[Unit_Price]]&gt;0,TableQCalcMain[[#This Row],[ShowDesc?]],0)</f>
        <v>0</v>
      </c>
      <c r="D108" s="61">
        <f>IF(TableQCalcMain[[#This Row],[Unit_Price]]&gt;0,SEEDLE_Option11-1,0)</f>
        <v>0</v>
      </c>
      <c r="E108" s="61"/>
      <c r="F108" s="61">
        <v>1</v>
      </c>
      <c r="G108" s="61">
        <f>TableQCalcMain[[#This Row],[ShowDesc?]]*TableQCalcMain[[#This Row],[Software]]</f>
        <v>0</v>
      </c>
      <c r="H108" s="61">
        <f>TableQCalcMain[[#This Row],[ShowDesc?]]*TableQCalcMain[[#This Row],[Hardware]]</f>
        <v>0</v>
      </c>
      <c r="I108" s="61" t="str">
        <f>LEFT(WinSEEDLE!D34,SEARCH(" cm",WinSEEDLE!D34)+2) &amp; REPT(" ",1)&amp;TextTrayWarranty</f>
        <v>Large plat individuel                                               30x40 cm  Garantie 30 jours, à inspecter à la réception</v>
      </c>
      <c r="J108" s="61">
        <f>WinSEEDLE!$I$22</f>
        <v>847330</v>
      </c>
      <c r="K108" s="61" t="str">
        <f>""</f>
        <v/>
      </c>
      <c r="L108" s="61">
        <f>ROUND(
IF(Distributeurs_Rabais,IFERROR(WinSEEDLE!#REF!,0),WinSEEDLE!G34),
2)</f>
        <v>0</v>
      </c>
      <c r="M108" s="455" t="str">
        <f>IFERROR(
IF(TableQCalcMain[[#This Row],[Unit_Price]]*TableQCalcMain[[#This Row],[Real_Quantity]]&gt;0,
TableQCalcMain[[#This Row],[Unit_Price]]*TableQCalcMain[[#This Row],[Real_Quantity]],""),"")</f>
        <v/>
      </c>
      <c r="N108" s="471"/>
      <c r="O108" s="472"/>
      <c r="P108" s="472"/>
      <c r="Q108" s="472"/>
      <c r="R108" s="472"/>
      <c r="S108" s="472"/>
      <c r="T108" s="471"/>
      <c r="U108" s="472"/>
      <c r="V108" s="472"/>
      <c r="W108" s="472"/>
      <c r="X108" s="472"/>
      <c r="Y108" s="472"/>
      <c r="Z108" s="472"/>
      <c r="AA108" s="472"/>
      <c r="AB108" s="472"/>
      <c r="AC108" s="472"/>
      <c r="AD108" s="472"/>
      <c r="AE108" s="472"/>
      <c r="AF108" s="472"/>
      <c r="AG108" s="472"/>
      <c r="AH108" s="472"/>
    </row>
    <row r="109" spans="1:34" x14ac:dyDescent="0.2">
      <c r="A109" s="768"/>
      <c r="B109" s="61" t="s">
        <v>234</v>
      </c>
      <c r="C109" s="61">
        <v>0</v>
      </c>
      <c r="D109" s="61">
        <v>0</v>
      </c>
      <c r="E109" s="61"/>
      <c r="F109" s="61"/>
      <c r="G109" s="61">
        <f>TableQCalcMain[[#This Row],[ShowDesc?]]*TableQCalcMain[[#This Row],[Software]]</f>
        <v>0</v>
      </c>
      <c r="H109" s="61">
        <f>TableQCalcMain[[#This Row],[ShowDesc?]]*TableQCalcMain[[#This Row],[Hardware]]</f>
        <v>0</v>
      </c>
      <c r="I109" s="61" t="s">
        <v>239</v>
      </c>
      <c r="J109" s="61" t="str">
        <f>""</f>
        <v/>
      </c>
      <c r="K109" s="61" t="str">
        <f>""</f>
        <v/>
      </c>
      <c r="L109" s="61" t="str">
        <f>""</f>
        <v/>
      </c>
      <c r="M109" s="61" t="str">
        <f>""</f>
        <v/>
      </c>
      <c r="N109" s="471"/>
      <c r="O109" s="472"/>
      <c r="P109" s="472"/>
      <c r="Q109" s="472"/>
      <c r="R109" s="472"/>
      <c r="S109" s="472"/>
      <c r="T109" s="471"/>
      <c r="U109" s="472"/>
      <c r="V109" s="472"/>
      <c r="W109" s="472"/>
      <c r="X109" s="472"/>
      <c r="Y109" s="472"/>
      <c r="Z109" s="472"/>
      <c r="AA109" s="472"/>
      <c r="AB109" s="472"/>
      <c r="AC109" s="472"/>
      <c r="AD109" s="472"/>
      <c r="AE109" s="472"/>
      <c r="AF109" s="472"/>
      <c r="AG109" s="472"/>
      <c r="AH109" s="472"/>
    </row>
    <row r="110" spans="1:34" x14ac:dyDescent="0.2">
      <c r="B110" s="536" t="s">
        <v>108</v>
      </c>
      <c r="C110" s="536" t="str">
        <f>""</f>
        <v/>
      </c>
      <c r="D110" s="536">
        <f>SUM(D84:D109)</f>
        <v>0</v>
      </c>
      <c r="E110" s="536">
        <v>1</v>
      </c>
      <c r="F110" s="536">
        <v>1</v>
      </c>
      <c r="G110" s="536">
        <f>SUM(G84:G109)</f>
        <v>0</v>
      </c>
      <c r="H110" s="536">
        <f>SUM(H84:H109)</f>
        <v>0</v>
      </c>
      <c r="I110" s="536" t="str">
        <f>REPT(" ",5)</f>
        <v xml:space="preserve">     </v>
      </c>
      <c r="J110" s="536" t="str">
        <f>""</f>
        <v/>
      </c>
      <c r="K110" s="536" t="str">
        <f>""</f>
        <v/>
      </c>
      <c r="L110" s="536" t="str">
        <f>""</f>
        <v/>
      </c>
      <c r="M110" s="536" t="str">
        <f>""</f>
        <v/>
      </c>
      <c r="N110" s="471"/>
      <c r="O110" s="472"/>
      <c r="P110" s="472"/>
      <c r="Q110" s="472"/>
      <c r="R110" s="472"/>
      <c r="S110" s="472"/>
      <c r="T110" s="471"/>
      <c r="U110" s="472"/>
      <c r="V110" s="472"/>
      <c r="W110" s="472"/>
      <c r="X110" s="472"/>
      <c r="Y110" s="472"/>
      <c r="Z110" s="472"/>
      <c r="AA110" s="472"/>
      <c r="AB110" s="472"/>
      <c r="AC110" s="472"/>
      <c r="AD110" s="472"/>
      <c r="AE110" s="472"/>
      <c r="AF110" s="472"/>
      <c r="AG110" s="472"/>
      <c r="AH110" s="472"/>
    </row>
    <row r="111" spans="1:34" x14ac:dyDescent="0.2">
      <c r="A111" s="769"/>
      <c r="B111" s="61" t="s">
        <v>80</v>
      </c>
      <c r="C111" s="61">
        <f>CAM_N_System-1</f>
        <v>0</v>
      </c>
      <c r="D111" s="61">
        <f>IF(IFERROR(WinCAM!$H$14+0,0)&gt;0,CAM_N_System-1,0)</f>
        <v>0</v>
      </c>
      <c r="E111" s="61">
        <v>1</v>
      </c>
      <c r="F111" s="61"/>
      <c r="G111" s="61">
        <v>0</v>
      </c>
      <c r="H111" s="61">
        <v>0</v>
      </c>
      <c r="I111" s="61" t="str">
        <f>QCalc!I199&amp; IF(Francais," Incluant:"," Including:")&amp; REPT(" ",4)</f>
        <v xml:space="preserve">WinCAM™ NDVI Reg 2025 Logiciel Avec Scanner Incluant:    </v>
      </c>
      <c r="J111" s="61">
        <f>WinCAM!I14</f>
        <v>903149</v>
      </c>
      <c r="K111" s="61">
        <f>TableQCalcMain[[#This Row],[Extended_price]]</f>
        <v>0</v>
      </c>
      <c r="L111" s="61" t="str">
        <f>IF(OR(TableQCalcMain[[#This Row],[Real_Quantity]]=0,TableQCalcMain[[#This Row],[Extended_price]]=0),"",ROUND(TableQCalcMain[[#This Row],[Extended_price]]/TableQCalcMain[[#This Row],[Real_Quantity]],2))</f>
        <v/>
      </c>
      <c r="M111" s="713">
        <f>ROUND(
IF(Distributeurs_Rabais,
IFERROR(WinCAM!#REF! + WinCAM!#REF!,0),
WinCAM!H4 + WinCAM!H14)+0*K113,
2)</f>
        <v>0</v>
      </c>
      <c r="N111" s="471"/>
      <c r="O111" s="472"/>
      <c r="P111" s="472"/>
      <c r="Q111" s="472"/>
      <c r="R111" s="472"/>
      <c r="S111" s="472"/>
      <c r="T111" s="471"/>
      <c r="U111" s="472"/>
      <c r="V111" s="472"/>
      <c r="W111" s="472"/>
      <c r="X111" s="472"/>
      <c r="Y111" s="472"/>
      <c r="Z111" s="472"/>
      <c r="AA111" s="472"/>
      <c r="AB111" s="472"/>
      <c r="AC111" s="472"/>
      <c r="AD111" s="472"/>
      <c r="AE111" s="472"/>
      <c r="AF111" s="472"/>
      <c r="AG111" s="472"/>
      <c r="AH111" s="472"/>
    </row>
    <row r="112" spans="1:34" x14ac:dyDescent="0.2">
      <c r="A112" s="769"/>
      <c r="B112" s="546" t="s">
        <v>81</v>
      </c>
      <c r="C112" s="547">
        <f>IF(AND(NOT(QUOTE_Split_SoftwareHardware),N(D111)&gt;0),
IF(CAM_N_Software-1=0,0,CAM_N_Software-1),
CAM_N_Software-1)</f>
        <v>0</v>
      </c>
      <c r="D112" s="61">
        <f>TableQCalcMain[[#This Row],[Real_Quantity]]</f>
        <v>0</v>
      </c>
      <c r="E112" s="61">
        <v>1</v>
      </c>
      <c r="F112" s="61"/>
      <c r="G112" s="61">
        <f>N(TableQCalcMain[[#This Row],[ShowDesc?]])*TableQCalcMain[[#This Row],[Software]]</f>
        <v>0</v>
      </c>
      <c r="H112" s="61">
        <f>N(TableQCalcMain[[#This Row],[ShowDesc?]])*TableQCalcMain[[#This Row],[Hardware]]</f>
        <v>0</v>
      </c>
      <c r="I112" s="61" t="str">
        <f>IF(OR(CAM_N_System=1,QUOTE_Split_SoftwareHardware),"","   • ") &amp; SUBSTITUTE(LEFT(INDEX(CAM_SoftwareFullNames,CAM_IndexSoftware),FIND(" ",INDEX(CAM_SoftwareFullNames,CAM_IndexSoftware),FIND(" ",INDEX(CAM_SoftwareFullNames,CAM_IndexSoftware))+7)),"™",IF(OR(CAM_N_System=1,QUOTE_Split_SoftwareHardware),"™",""))&amp;
CAM_YearMostRecent &amp;
IF(Francais," Logiciel"," Software")&amp; IF(QUOTE_Split_SoftwareHardware,IF(QUOTE_InternetDownload,IF(Francais, ", Téléchargement Internet", ", Internet download"),IF(Francais, ", Envoyé par transporteur", ", Shipped by courier")),IF(Francais," sur media USB (manuels PDF &amp; imprimés)"," on USB drive (PDF &amp; printed manuals)")) &amp;
IF(AND(QUOTE_SameClient=TRUE,CAM_N_Software+CAM_N_AlreadyHaveSoftware&gt;3),IF(Francais," (incl. rabais multi licenses"," (incl. multi licenses discount")&amp;
" "&amp;TEXT(ROUND((INDEX(CAM_SoftwarePriceList,(CAM_IndexSoftware)))*((CAM_N_Software-1)-IF(CAM_N_Software-1=0,0,SUM(MMULT(
  _xlfn.MUNIT(
   CAM_N_Software-1),
    INDEX(TableLists[Column10],CAM_N_AlreadyHaveSoftware-1+2):
    INDEX(TableLists[Column10],(CAM_N_AlreadyHaveSoftware-1+1)+(CAM_N_Software-1))
))))*(1-RebateSoftware*Distributeurs_Rabais),0),"0.00")&amp;")","")</f>
        <v>WinCAM™ NDVI Reg 2025 Logiciel sur media USB (manuels PDF &amp; imprimés)</v>
      </c>
      <c r="J112" s="61">
        <f>IF(AND(CAM_N_System&gt;1,NOT(QUOTE_Split_SoftwareHardware)),
"",WinCAM!I4)</f>
        <v>852349</v>
      </c>
      <c r="K112" s="61">
        <f>ROUND((INDEX(CAM_SoftwarePriceList,CAM_IndexSoftware))*
IF(CAM_N_Software-1=0,0,SUM(MMULT(
  _xlfn.MUNIT(
   CAM_N_Software-1),
    INDEX(TableLists[Column10],CAM_N_AlreadyHaveSoftware-1+2):
    INDEX(TableLists[Column10],(CAM_N_AlreadyHaveSoftware-1+1)+(CAM_N_Software-1))
)))*(1-RebateSoftware*Distributeurs_Rabais)
-IF(QUOTE_Split_SoftwareHardware,PrixUSBKey*(CAM_N_Software-1),0),0)</f>
        <v>0</v>
      </c>
      <c r="L112" s="61" t="str">
        <f>IF(OR(TableQCalcMain[[#This Row],[Real_Quantity]]=0,TableQCalcMain[[#This Row],[Extended_price]]=0),"",ROUND(TableQCalcMain[[#This Row],[Extended_price]]/TableQCalcMain[[#This Row],[Real_Quantity]],2))</f>
        <v/>
      </c>
      <c r="M112" s="61">
        <f>ROUND(
IF(CAM_N_System&gt;1,
IF(NOT(QUOTE_Split_SoftwareHardware),0,TableQCalcMain[[#This Row],[Detailed_Ext_Price]]),
(INDEX(CAM_SoftwarePriceList,(CAM_IndexSoftware)))*
IF(CAM_N_Software-1=0,0,SUM(MMULT(
  _xlfn.MUNIT(
   CAM_N_Software-1),
    INDEX(TableLists[Column10],CAM_N_AlreadyHaveSoftware-1+2):
    INDEX(TableLists[Column10],(CAM_N_AlreadyHaveSoftware-1+1)+(CAM_N_Software-1))
))
)*(1-RebateSoftware*Distributeurs_Rabais)
-IF(QUOTE_Split_SoftwareHardware,PrixUSBKey*(CAM_N_Software-1),0)
),0)</f>
        <v>0</v>
      </c>
      <c r="N112" s="471"/>
      <c r="O112" s="472"/>
      <c r="P112" s="472"/>
      <c r="Q112" s="472"/>
      <c r="R112" s="472"/>
      <c r="S112" s="472"/>
      <c r="T112" s="471"/>
      <c r="U112" s="472"/>
      <c r="V112" s="472"/>
      <c r="W112" s="472"/>
      <c r="X112" s="472"/>
      <c r="Y112" s="472"/>
      <c r="Z112" s="472"/>
      <c r="AA112" s="472"/>
      <c r="AB112" s="472"/>
      <c r="AC112" s="472"/>
      <c r="AD112" s="472"/>
      <c r="AE112" s="472"/>
      <c r="AF112" s="472"/>
      <c r="AG112" s="472"/>
      <c r="AH112" s="472"/>
    </row>
    <row r="113" spans="1:34" x14ac:dyDescent="0.2">
      <c r="A113" s="769"/>
      <c r="B113" s="565" t="s">
        <v>748</v>
      </c>
      <c r="C113" s="567" t="str">
        <f>""</f>
        <v/>
      </c>
      <c r="D113" s="567">
        <f>IF(AND(
C111&lt;&gt;0,C112=0,
NOT(QUOTE_Split_SoftwareHardware),
IFERROR(QCalc!$F$199,0)&gt;0
),C122,0)+N("Si il y a un système sans software (update only) et que facture est pas split, afficher UpgradeUpdate en tant que Software dans système")</f>
        <v>0</v>
      </c>
      <c r="E113" s="61"/>
      <c r="F113" s="61"/>
      <c r="G113" s="61"/>
      <c r="H113" s="61"/>
      <c r="I113" s="565" t="str">
        <f>"   • " &amp; I122</f>
        <v xml:space="preserve">   • Mise à jour de WinCAM™ NDVI Reg 2019 à WinCAM™ NDVI Reg 2025 sur media USB (manuels PDF &amp; imprimés)</v>
      </c>
      <c r="J113" s="565">
        <f>J122</f>
        <v>852349</v>
      </c>
      <c r="K113" s="565">
        <f>IF(TableQCalcMain[[#This Row],[ShowDesc?]]=0,0,M122)</f>
        <v>0</v>
      </c>
      <c r="L113" s="61"/>
      <c r="M113" s="61"/>
      <c r="N113" s="471"/>
      <c r="O113" s="472"/>
      <c r="P113" s="472"/>
      <c r="Q113" s="472"/>
      <c r="R113" s="472"/>
      <c r="S113" s="472"/>
      <c r="T113" s="471"/>
      <c r="U113" s="472"/>
      <c r="V113" s="472"/>
      <c r="W113" s="472"/>
      <c r="X113" s="472"/>
      <c r="Y113" s="472"/>
      <c r="Z113" s="472"/>
      <c r="AA113" s="472"/>
      <c r="AB113" s="472"/>
      <c r="AC113" s="472"/>
      <c r="AD113" s="472"/>
      <c r="AE113" s="472"/>
      <c r="AF113" s="472"/>
      <c r="AG113" s="472"/>
      <c r="AH113" s="472"/>
    </row>
    <row r="114" spans="1:34" x14ac:dyDescent="0.2">
      <c r="A114" s="769"/>
      <c r="B114" s="470" t="s">
        <v>335</v>
      </c>
      <c r="C114" s="61" t="str">
        <f>""</f>
        <v/>
      </c>
      <c r="D114" s="61">
        <f>IF(QUOTE_Split_SoftwareHardware,N($C$112),0)</f>
        <v>0</v>
      </c>
      <c r="E114" s="61">
        <v>1</v>
      </c>
      <c r="F114" s="61"/>
      <c r="G114" s="61">
        <f>TableQCalcMain[[#This Row],[ShowDesc?]]*TableQCalcMain[[#This Row],[Software]]</f>
        <v>0</v>
      </c>
      <c r="H114" s="61"/>
      <c r="I114" s="61" t="str">
        <f>"         • " &amp; IF(AND(QUOTE_Split_SoftwareHardware,QUOTE_InternetDownload),
IF(Francais,"Logiciels et documents d'instructions (fichiers PDF)","Software &amp; Instructions documents (PDF files)"),
IF(Francais,"Logiciel et documents d'instructions (" &amp; IF(QUOTE_InternetDownload,"sur clé USB","PDF") &amp; " et imprimés)","Software &amp; Instructions documents (" &amp; IF(QUOTE_InternetDownload,"on USB Key","PDF") &amp; " &amp; printed)"))
&amp;REPT(" ",12)</f>
        <v xml:space="preserve">         • Logiciel et documents d'instructions (PDF et imprimés)            </v>
      </c>
      <c r="J114" s="61" t="str">
        <f>""</f>
        <v/>
      </c>
      <c r="K114" s="61" t="str">
        <f>""</f>
        <v/>
      </c>
      <c r="L114" s="61" t="str">
        <f>""</f>
        <v/>
      </c>
      <c r="M114" s="61" t="str">
        <f>""</f>
        <v/>
      </c>
      <c r="N114" s="471"/>
      <c r="O114" s="472"/>
      <c r="P114" s="472"/>
      <c r="Q114" s="472"/>
      <c r="R114" s="472"/>
      <c r="S114" s="472"/>
      <c r="T114" s="471"/>
      <c r="U114" s="472"/>
      <c r="V114" s="472"/>
      <c r="W114" s="472"/>
      <c r="X114" s="472"/>
      <c r="Y114" s="472"/>
      <c r="Z114" s="472"/>
      <c r="AA114" s="472"/>
      <c r="AB114" s="472"/>
      <c r="AC114" s="472"/>
      <c r="AD114" s="472"/>
      <c r="AE114" s="472"/>
      <c r="AF114" s="472"/>
      <c r="AG114" s="472"/>
      <c r="AH114" s="472"/>
    </row>
    <row r="115" spans="1:34" x14ac:dyDescent="0.2">
      <c r="A115" s="769"/>
      <c r="B115" s="61" t="s">
        <v>712</v>
      </c>
      <c r="C115" s="61"/>
      <c r="D115" s="61"/>
      <c r="E115" s="61"/>
      <c r="F115" s="61"/>
      <c r="G115" s="61"/>
      <c r="H115" s="61"/>
      <c r="I115" s="61"/>
      <c r="J115" s="61"/>
      <c r="K115" s="61"/>
      <c r="L115" s="61"/>
      <c r="M115" s="61"/>
      <c r="N115" s="471"/>
      <c r="O115" s="472"/>
      <c r="P115" s="472"/>
      <c r="Q115" s="472"/>
      <c r="R115" s="472"/>
      <c r="S115" s="472"/>
      <c r="T115" s="471"/>
      <c r="U115" s="472"/>
      <c r="V115" s="472"/>
      <c r="W115" s="472"/>
      <c r="X115" s="472"/>
      <c r="Y115" s="472"/>
      <c r="Z115" s="472"/>
      <c r="AA115" s="472"/>
      <c r="AB115" s="472"/>
      <c r="AC115" s="472"/>
      <c r="AD115" s="472"/>
      <c r="AE115" s="472"/>
      <c r="AF115" s="472"/>
      <c r="AG115" s="472"/>
      <c r="AH115" s="472"/>
    </row>
    <row r="116" spans="1:34" x14ac:dyDescent="0.2">
      <c r="A116" s="769"/>
      <c r="B116" s="61" t="s">
        <v>325</v>
      </c>
      <c r="C116" s="61">
        <f>N($C$112)+N($C$122)</f>
        <v>0</v>
      </c>
      <c r="D116" s="764">
        <f>IF(AND(QUOTE_Split_SoftwareHardware,TableQCalcMain[[#This Row],[Real_Quantity]]&gt;0,NOT(AND(CAM_ChkBox_UpgradeUpdate,CAM_ChkB_RemoteUpdate))),1,0)</f>
        <v>0</v>
      </c>
      <c r="E116" s="61">
        <f>IF(QUOTE_InternetDownload,0,1)</f>
        <v>1</v>
      </c>
      <c r="F116" s="61">
        <f>IF(QUOTE_InternetDownload,1,0)</f>
        <v>0</v>
      </c>
      <c r="G116" s="61">
        <f>TableQCalcMain[[#This Row],[ShowDesc?]]*TableQCalcMain[[#This Row],[Software]]</f>
        <v>0</v>
      </c>
      <c r="H116" s="61">
        <f>TableQCalcMain[[#This Row],[ShowDesc?]]*TableQCalcMain[[#This Row],[Hardware]]</f>
        <v>0</v>
      </c>
      <c r="I116" s="61" t="str">
        <f xml:space="preserve">   SUBSTITUTE(
   IF(Francais,
"Clé USB pour WinSOFTWARE" &amp; IF(TableQCalcMain[[#This Row],[Hardware]]=1," et documents d'Instructions (expédiés par transporteur)",""),
"USB drive for WinSOFTWARE" &amp; IF(TableQCalcMain[[#This Row],[Hardware]]=1," and Instructions documents (shipped by courier)","")),
   "WinSOFTWARE","Win" &amp;  LEFT(TableQCalcMain[[#This Row],[Variable / Product ID]],FIND("_",TableQCalcMain[[#This Row],[Variable / Product ID]])-1) &amp; " " &amp; INDEX(CAM_UpgradeNameShort,CAM_IndexSoftware))</f>
        <v>Clé USB pour WinCAM Reg</v>
      </c>
      <c r="J116" s="61">
        <v>852351</v>
      </c>
      <c r="K116" s="61">
        <f>TableQCalcMain[[#This Row],[Extended_price]]</f>
        <v>0</v>
      </c>
      <c r="L116" s="61" t="str">
        <f>IF(OR(TableQCalcMain[[#This Row],[Real_Quantity]]=0,TableQCalcMain[[#This Row],[Extended_price]]=0),"",ROUND(TableQCalcMain[[#This Row],[Extended_price]]/TableQCalcMain[[#This Row],[Real_Quantity]],2))</f>
        <v/>
      </c>
      <c r="M116" s="61">
        <f>PrixUSBKey*TableQCalcMain[[#This Row],[Real_Quantity]]</f>
        <v>0</v>
      </c>
      <c r="N116" s="471"/>
      <c r="O116" s="472"/>
      <c r="P116" s="472"/>
      <c r="Q116" s="472"/>
      <c r="R116" s="472"/>
      <c r="S116" s="472"/>
      <c r="T116" s="471"/>
      <c r="U116" s="472"/>
      <c r="V116" s="472"/>
      <c r="W116" s="472"/>
      <c r="X116" s="472"/>
      <c r="Y116" s="472"/>
      <c r="Z116" s="472"/>
      <c r="AA116" s="472"/>
      <c r="AB116" s="472"/>
      <c r="AC116" s="472"/>
      <c r="AD116" s="472"/>
      <c r="AE116" s="472"/>
      <c r="AF116" s="472"/>
      <c r="AG116" s="472"/>
      <c r="AH116" s="472"/>
    </row>
    <row r="117" spans="1:34" x14ac:dyDescent="0.2">
      <c r="A117" s="769"/>
      <c r="B117" s="61" t="s">
        <v>320</v>
      </c>
      <c r="C117" s="61" t="str">
        <f>IF(NOT(QUOTE_Split_SoftwareHardware),"",C111)</f>
        <v/>
      </c>
      <c r="D117" s="61">
        <f>IF(CAM_ClientWithOrWithoutScanner=1,$D$111,0)</f>
        <v>0</v>
      </c>
      <c r="E117" s="61"/>
      <c r="F117" s="61">
        <v>1</v>
      </c>
      <c r="G117" s="61">
        <f>TableQCalcMain[[#This Row],[ShowDesc?]]*TableQCalcMain[[#This Row],[Software]]</f>
        <v>0</v>
      </c>
      <c r="H117" s="61">
        <f>TableQCalcMain[[#This Row],[ShowDesc?]]*TableQCalcMain[[#This Row],[Hardware]]</f>
        <v>0</v>
      </c>
      <c r="I117" s="466" t="str">
        <f>IF(OR(CAM_N_System=1,QUOTE_Split_SoftwareHardware),"","   • ")&amp;IF(OR(CAM_IndexScanner=1,CAM_IndexScanner=2),
IF(CAM_IndexScanner=1,
IF(Francais," Scanner STD4800: 4800 ppp, Surface de Scan 22x30cm (20x25cm avec LS)"," STD4800 Scanner: 4800 dpi, Scan Area 22x30cm (20x25cm with SL)"),
IF(Francais," Scanner LA2400: 2400 ppp, Surface de Scan 31x44cm (31x42cm avec LS)"," LA2400 Scanner: 2400 dpi, Scan Area 31x44cm (31x42cm with SL)"))&amp;REPT(" ",10)&amp;"S/N:"&amp;CAM_Serial&amp;REPT(" ",4),
IF(CAM_IndexScanner=3,
IF(Francais," Scanner LC4800P: 4800 ppp, Surface de Scan 22x28cm"," LC4800P Scanner: 4800 dpi, Scan Area 22x28cm"))&amp;REPT(" ",10)&amp;"S/N:"&amp;CAM_Serial&amp;REPT(" ",4))</f>
        <v xml:space="preserve"> Scanner STD4800: 4800 ppp, Surface de Scan 22x30cm (20x25cm avec LS)          S/N:    </v>
      </c>
      <c r="J117" s="61" t="str">
        <f>IF(QUOTE_Split_SoftwareHardware,ScannerHCode,"")</f>
        <v/>
      </c>
      <c r="K117" s="466">
        <f>IF(CAM_ClientWithOrWithoutScanner=1,
   IF(Distributeurs_Rabais,
      IF(CAM_IndexScanner=1,PrixSTD_Dist,IF(CAM_IndexScanner=2,PrixLA_Dist,PrixLC_Dist)),
      IF(CAM_IndexScanner=1,PrixSTD,          IF(CAM_IndexScanner=2,PrixLA,          PrixLC))
    ),
0)
*(CAM_N_System-1) -K120</f>
        <v>0</v>
      </c>
      <c r="L117" s="61">
        <f>IF(C111=0,0,ROUND(TableQCalcMain[[#This Row],[Extended_price]]/C111,2))</f>
        <v>0</v>
      </c>
      <c r="M117" s="61">
        <f>IF(NOT(QUOTE_Split_SoftwareHardware),0,TableQCalcMain[[#This Row],[Detailed_Ext_Price]]+N(K118)+K119)</f>
        <v>0</v>
      </c>
      <c r="N117" s="471"/>
      <c r="O117" s="472"/>
      <c r="P117" s="472"/>
      <c r="Q117" s="472"/>
      <c r="R117" s="472"/>
      <c r="S117" s="472"/>
      <c r="T117" s="471"/>
      <c r="U117" s="472"/>
      <c r="V117" s="472"/>
      <c r="W117" s="472"/>
      <c r="X117" s="472"/>
      <c r="Y117" s="472"/>
      <c r="Z117" s="472"/>
      <c r="AA117" s="472"/>
      <c r="AB117" s="472"/>
      <c r="AC117" s="472"/>
      <c r="AD117" s="472"/>
      <c r="AE117" s="472"/>
      <c r="AF117" s="472"/>
      <c r="AG117" s="472"/>
      <c r="AH117" s="472"/>
    </row>
    <row r="118" spans="1:34" ht="17" x14ac:dyDescent="0.2">
      <c r="A118" s="769"/>
      <c r="B118" s="61" t="s">
        <v>99</v>
      </c>
      <c r="C118" s="455" t="str">
        <f>IF(AND(CAM_ClientWithOrWithoutScanner=1,CAM_IndexScanner=2),D118,"")</f>
        <v/>
      </c>
      <c r="D118" s="61">
        <f>IF(AND(WinCAM!G22&gt;0,D111&gt;0),CAM_OptionTPU-1,IF(AND(CAM_ClientWithOrWithoutScanner=1,CAM_IndexScanner=1),D111,0))</f>
        <v>0</v>
      </c>
      <c r="E118" s="61"/>
      <c r="F118" s="61">
        <v>1</v>
      </c>
      <c r="G118" s="61">
        <f>TableQCalcMain[[#This Row],[ShowDesc?]]*TableQCalcMain[[#This Row],[Software]]</f>
        <v>0</v>
      </c>
      <c r="H118" s="61">
        <f>TableQCalcMain[[#This Row],[ShowDesc?]]*TableQCalcMain[[#This Row],[Hardware]]</f>
        <v>0</v>
      </c>
      <c r="I118" s="61" t="str">
        <f>"         " &amp; WinCAM!$E$22 &amp; REPT(" ",3)&amp;REPT(" ",15) &amp; "S/N:" &amp;CAM_SerialTPU</f>
        <v xml:space="preserve">         • Lumière spéciale (LS) pour scanner Feuilles, Racines, Graines ou Aiguilles                  S/N:</v>
      </c>
      <c r="J118" s="61" t="str">
        <f>""</f>
        <v/>
      </c>
      <c r="K118" s="473" t="str">
        <f>IF(CAM_IndexScanner=1,
"incl.",
IF(Distributeurs_Rabais,PrixTPU_Dist,PrixTPU)*(CAM_OptionTPU-1)
)</f>
        <v>incl.</v>
      </c>
      <c r="L118" s="61" t="str">
        <f>""</f>
        <v/>
      </c>
      <c r="M118" s="61" t="str">
        <f>""</f>
        <v/>
      </c>
      <c r="N118" s="471"/>
      <c r="O118" s="472"/>
      <c r="P118" s="472"/>
      <c r="Q118" s="472"/>
      <c r="R118" s="472"/>
      <c r="S118" s="472"/>
      <c r="T118" s="471"/>
      <c r="U118" s="472"/>
      <c r="V118" s="472"/>
      <c r="W118" s="472"/>
      <c r="X118" s="472"/>
      <c r="Y118" s="472"/>
      <c r="Z118" s="472"/>
      <c r="AA118" s="472"/>
      <c r="AB118" s="472"/>
      <c r="AC118" s="472"/>
      <c r="AD118" s="472"/>
      <c r="AE118" s="472"/>
      <c r="AF118" s="472"/>
      <c r="AG118" s="472"/>
      <c r="AH118" s="472"/>
    </row>
    <row r="119" spans="1:34" x14ac:dyDescent="0.2">
      <c r="A119" s="769"/>
      <c r="B119" s="61" t="s">
        <v>100</v>
      </c>
      <c r="C119" s="61" t="str">
        <f>IF(AND(QUOTE_Split_SoftwareHardware,CAM_PosiOrBlueBG_Checkbox,NOT(CAM_ClientWithOrWithoutScanner_ChkBox)),C111,"")</f>
        <v/>
      </c>
      <c r="D119" s="61">
        <f>IF(CAM_PosiOrBlueBG_Checkbox,D111,0)</f>
        <v>0</v>
      </c>
      <c r="E119" s="61"/>
      <c r="F119" s="61">
        <v>1</v>
      </c>
      <c r="G119" s="61">
        <f>TableQCalcMain[[#This Row],[ShowDesc?]]*TableQCalcMain[[#This Row],[Software]]</f>
        <v>0</v>
      </c>
      <c r="H119" s="61">
        <f>TableQCalcMain[[#This Row],[ShowDesc?]]*TableQCalcMain[[#This Row],[Hardware]]</f>
        <v>0</v>
      </c>
      <c r="I119" s="61" t="str">
        <f>SUBSTITUTE("         " &amp; WinCAM!$D$21 &amp; REPT(" ",3),
"         • ",
IF(AND(QUOTE_Split_SoftwareHardware,NOT(CAM_ClientWithOrWithoutScanner_ChkBox)),"","         • "))</f>
        <v xml:space="preserve">         • Fond Bleu pour Analyse Couleur pour scanner STD   </v>
      </c>
      <c r="J119" s="61" t="str">
        <f>IF(AND(CAM_PosiOrBlueBG_Checkbox,QUOTE_Split_SoftwareHardware),WinCAM!$I$24,"")</f>
        <v/>
      </c>
      <c r="K119" s="61">
        <f>ROUND(INDEX(PrixBlBgSTD_LA_LC,1,,CAM_IndexScanner)*(CAM_PosiOrBlueBG_Checkbox)*(CAM_N_System-1)*(1-RebateHardware*Distributeurs_Rabais),0)</f>
        <v>0</v>
      </c>
      <c r="L119" s="61">
        <f>IF(AND(QUOTE_Split_SoftwareHardware,CAM_PosiOrBlueBG_Checkbox,NOT(CAM_ClientWithOrWithoutScanner_ChkBox)),TableQCalcMain[[#This Row],[Detailed_Ext_Price]]/TableQCalcMain[[#This Row],[ShowDesc?]],0)</f>
        <v>0</v>
      </c>
      <c r="M119" s="61">
        <f>IF(AND(QUOTE_Split_SoftwareHardware,CAM_PosiOrBlueBG_Checkbox,NOT(CAM_ClientWithOrWithoutScanner_ChkBox)),TableQCalcMain[[#This Row],[Detailed_Ext_Price]],0)</f>
        <v>0</v>
      </c>
      <c r="N119" s="471"/>
      <c r="O119" s="472"/>
      <c r="P119" s="472"/>
      <c r="Q119" s="472"/>
      <c r="R119" s="472"/>
      <c r="S119" s="472"/>
      <c r="T119" s="471"/>
      <c r="U119" s="472"/>
      <c r="V119" s="472"/>
      <c r="W119" s="472"/>
      <c r="X119" s="472"/>
      <c r="Y119" s="472"/>
      <c r="Z119" s="472"/>
      <c r="AA119" s="472"/>
      <c r="AB119" s="472"/>
      <c r="AC119" s="472"/>
      <c r="AD119" s="472"/>
      <c r="AE119" s="472"/>
      <c r="AF119" s="472"/>
      <c r="AG119" s="472"/>
      <c r="AH119" s="472"/>
    </row>
    <row r="120" spans="1:34" x14ac:dyDescent="0.2">
      <c r="A120" s="769"/>
      <c r="B120" s="571" t="s">
        <v>351</v>
      </c>
      <c r="C120" s="571" t="str">
        <f>IF(AND((QUOTE_Split_SoftwareHardware),N(C112)=0),C111,
IF(AND(QUOTE_Split_SoftwareHardware,NOT(CAM_ClientWithOrWithoutScanner_ChkBox)),C111,"")
)</f>
        <v/>
      </c>
      <c r="D120" s="571">
        <f>IF(AND((QUOTE_Split_SoftwareHardware),AND(NOT(SuperUser),N(D112)=0)),0,D111)</f>
        <v>0</v>
      </c>
      <c r="E120" s="538">
        <v>1</v>
      </c>
      <c r="F120" s="538">
        <v>0</v>
      </c>
      <c r="G120" s="538">
        <f>TableQCalcMain[[#This Row],[ShowDesc?]]*TableQCalcMain[[#This Row],[Software]]</f>
        <v>0</v>
      </c>
      <c r="H120" s="538">
        <f>TableQCalcMain[[#This Row],[ShowDesc?]]*TableQCalcMain[[#This Row],[Hardware]]</f>
        <v>0</v>
      </c>
      <c r="I120" s="571" t="str">
        <f>IF(AND((QUOTE_Split_SoftwareHardware),N(C112)=0),"","         • ") &amp; IF(Francais,
"Calibration Scanner, Instructions," &amp; IF(OR(LEFT(TableQCalcMain[[#This Row],[Variable / Product ID]],3)="RHI",LEFT(TableQCalcMain[[#This Row],[Variable / Product ID]],3)="SEE")," Didacticiel vidéo,","") &amp; " Pilote TWAIN " &amp; "&amp;" &amp; " Support Technique",
"Scanner Calibration, Instructions," &amp; IF(OR(LEFT(TableQCalcMain[[#This Row],[Variable / Product ID]],3)="RHI",LEFT(TableQCalcMain[[#This Row],[Variable / Product ID]],3)="SEE")," Video tutorial,","") &amp; " TWAIN driver " &amp; "&amp;" &amp; " Technical support")
&amp; IF(LEFT(TableQCalcMain[[#This Row],[Variable / Product ID]],3)="DEN",REPT(" ",0),
IF(LEFT(TableQCalcMain[[#This Row],[Variable / Product ID]],3)="RHI",REPT(" ",1),
IF(LEFT(TableQCalcMain[[#This Row],[Variable / Product ID]],3)="FOL",REPT(" ",2),
IF(LEFT(TableQCalcMain[[#This Row],[Variable / Product ID]],3)="SEE",REPT(" ",3),
IF(LEFT(TableQCalcMain[[#This Row],[Variable / Product ID]],3)="CAM",REPT(" ",4),"")))))</f>
        <v xml:space="preserve">         • Calibration Scanner, Instructions, Pilote TWAIN &amp; Support Technique    </v>
      </c>
      <c r="J120" s="538" t="str">
        <f>""</f>
        <v/>
      </c>
      <c r="K120" s="538">
        <f>ROUND((IF(CAM_IndexScanner=3,LC_GenCalib_Drivers_Instr_Techsup,IF(CAM_IndexScanner=1,STD_GenCalib_Drivers_Instr_Techsup,LA_GenCalib_Drivers_Instr_Techsup)))
*(CAM_N_System-1)*(1-RebateCalibScanner*Distributeurs_Rabais),0)</f>
        <v>0</v>
      </c>
      <c r="L120" s="538" t="str">
        <f>IF(QUOTE_Split_SoftwareHardware,TableQCalcMain[[#This Row],[Detailed_Ext_Price]]/TableQCalcMain[[#This Row],[ShowDesc?]],"")</f>
        <v/>
      </c>
      <c r="M120" s="538">
        <f>IF(QUOTE_Split_SoftwareHardware,TableQCalcMain[[#This Row],[Detailed_Ext_Price]],0)</f>
        <v>0</v>
      </c>
      <c r="N120" s="471"/>
      <c r="O120" s="472"/>
      <c r="P120" s="472"/>
      <c r="Q120" s="472"/>
      <c r="R120" s="472"/>
      <c r="S120" s="472"/>
      <c r="T120" s="471"/>
      <c r="U120" s="472"/>
      <c r="V120" s="472"/>
      <c r="W120" s="472"/>
      <c r="X120" s="472"/>
      <c r="Y120" s="472"/>
      <c r="Z120" s="472"/>
      <c r="AA120" s="472"/>
      <c r="AB120" s="472"/>
      <c r="AC120" s="472"/>
      <c r="AD120" s="472"/>
      <c r="AE120" s="472"/>
      <c r="AF120" s="472"/>
      <c r="AG120" s="472"/>
      <c r="AH120" s="472"/>
    </row>
    <row r="121" spans="1:34" x14ac:dyDescent="0.2">
      <c r="A121" s="769"/>
      <c r="B121" s="61" t="s">
        <v>346</v>
      </c>
      <c r="C121" s="455"/>
      <c r="D121" s="61"/>
      <c r="E121" s="61"/>
      <c r="F121" s="61"/>
      <c r="G121" s="61"/>
      <c r="H121" s="61"/>
      <c r="I121" s="61"/>
      <c r="J121" s="61" t="str">
        <f>""</f>
        <v/>
      </c>
      <c r="K121" s="61" t="str">
        <f>""</f>
        <v/>
      </c>
      <c r="L121" s="61" t="str">
        <f>""</f>
        <v/>
      </c>
      <c r="M121" s="61" t="str">
        <f>""</f>
        <v/>
      </c>
      <c r="N121" s="471"/>
      <c r="O121" s="472"/>
      <c r="P121" s="472"/>
      <c r="Q121" s="472"/>
      <c r="R121" s="472"/>
      <c r="S121" s="472"/>
      <c r="T121" s="471"/>
      <c r="U121" s="472"/>
      <c r="V121" s="472"/>
      <c r="W121" s="472"/>
      <c r="X121" s="472"/>
      <c r="Y121" s="472"/>
      <c r="Z121" s="472"/>
      <c r="AA121" s="472"/>
      <c r="AB121" s="472"/>
      <c r="AC121" s="472"/>
      <c r="AD121" s="472"/>
      <c r="AE121" s="472"/>
      <c r="AF121" s="472"/>
      <c r="AG121" s="472"/>
      <c r="AH121" s="472"/>
    </row>
    <row r="122" spans="1:34" x14ac:dyDescent="0.2">
      <c r="A122" s="769"/>
      <c r="B122" s="469" t="s">
        <v>82</v>
      </c>
      <c r="C122" s="61">
        <f>CAM_N_UpgradeUpdate-1</f>
        <v>0</v>
      </c>
      <c r="D122" s="567">
        <f>IFERROR(IF(AND(D113=0,OR(WinCAM!$G$5&gt;0,WinCAM!$G$6&gt;0)),CAM_N_UpgradeUpdate-1,0),0)</f>
        <v>0</v>
      </c>
      <c r="E122" s="61">
        <v>1</v>
      </c>
      <c r="F122" s="61"/>
      <c r="G122" s="61">
        <f>TableQCalcMain[[#This Row],[ShowDesc?]]*TableQCalcMain[[#This Row],[Software]]</f>
        <v>0</v>
      </c>
      <c r="H122" s="61">
        <f>TableQCalcMain[[#This Row],[ShowDesc?]]*TableQCalcMain[[#This Row],[Hardware]]</f>
        <v>0</v>
      </c>
      <c r="I122" s="469" t="str">
        <f>IF(Francais,"Mise à jour de ","Update from ") &amp;
INDEX(CAM_SoftwareList,CAM_IndexClientVersion) &amp; CAM_YearClient &amp;
IF(Francais," à "," to ") &amp;
INDEX(CAM_SoftwareList,CAM_IndexSoftware) &amp; CAM_YearMostRecent
&amp;
IF(QUOTE_Split_SoftwareHardware,IF(QUOTE_InternetDownload,IF(Francais, ", Téléchargement Internet", ", Internet download"),IF(Francais, ", Envoyé par transporteur", ", Shipped by courier")),IF(Francais," sur media USB (manuels PDF &amp; imprimés)"," on USB drive (PDF &amp; printed manuals)"))</f>
        <v>Mise à jour de WinCAM™ NDVI Reg 2019 à WinCAM™ NDVI Reg 2025 sur media USB (manuels PDF &amp; imprimés)</v>
      </c>
      <c r="J122" s="61">
        <f>IF(CAM_N_System&gt;1,
"",WinCAM!I4)</f>
        <v>852349</v>
      </c>
      <c r="K122" s="61" t="str">
        <f>""</f>
        <v/>
      </c>
      <c r="L122" s="61" t="e">
        <f>ROUND(TableQCalcMain[[#This Row],[Extended_price]]/TableQCalcMain[[#This Row],[Real_Quantity]],2)</f>
        <v>#DIV/0!</v>
      </c>
      <c r="M122" s="764">
        <f>ROUND(IF(Distributeurs_Rabais,IFERROR(QCalc!G199,0),IFERROR(QCalc!F199,0))
-IF(AND(NOT(CAM_ChkB_RemoteUpdate),QUOTE_Split_SoftwareHardware),PrixUSBKey*(CAM_N_UpgradeUpdate-1),0),2)</f>
        <v>0</v>
      </c>
      <c r="N122" s="471"/>
      <c r="O122" s="472"/>
      <c r="P122" s="472"/>
      <c r="Q122" s="472"/>
      <c r="R122" s="472"/>
      <c r="S122" s="472"/>
      <c r="T122" s="471"/>
      <c r="U122" s="472"/>
      <c r="V122" s="472"/>
      <c r="W122" s="472"/>
      <c r="X122" s="472"/>
      <c r="Y122" s="472"/>
      <c r="Z122" s="472"/>
      <c r="AA122" s="472"/>
      <c r="AB122" s="472"/>
      <c r="AC122" s="472"/>
      <c r="AD122" s="472"/>
      <c r="AE122" s="472"/>
      <c r="AF122" s="472"/>
      <c r="AG122" s="472"/>
      <c r="AH122" s="472"/>
    </row>
    <row r="123" spans="1:34" x14ac:dyDescent="0.2">
      <c r="A123" s="769"/>
      <c r="B123" s="470" t="s">
        <v>335</v>
      </c>
      <c r="C123" s="61" t="str">
        <f>""</f>
        <v/>
      </c>
      <c r="D123" s="61">
        <f>IF(QUOTE_Split_SoftwareHardware,N($C$122),0)</f>
        <v>0</v>
      </c>
      <c r="E123" s="61">
        <v>1</v>
      </c>
      <c r="F123" s="61"/>
      <c r="G123" s="61">
        <f>TableQCalcMain[[#This Row],[ShowDesc?]]*TableQCalcMain[[#This Row],[Software]]</f>
        <v>0</v>
      </c>
      <c r="H123" s="61"/>
      <c r="I123" s="61" t="str">
        <f>"         • " &amp; IF(AND(QUOTE_Split_SoftwareHardware,QUOTE_InternetDownload),
IF(Francais,"Logiciels et documents d'instructions (fichiers PDF)","Software &amp; Instructions documents (PDF files)"),
IF(Francais,"Logiciel et documents d'instructions (" &amp; IF(QUOTE_InternetDownload,"sur clé USB","PDF") &amp; " et imprimés)","Software &amp; Instructions documents (" &amp; IF(QUOTE_InternetDownload,"on USB Key","PDF") &amp; " &amp; printed)"))
&amp;REPT(" ",13)</f>
        <v xml:space="preserve">         • Logiciel et documents d'instructions (PDF et imprimés)             </v>
      </c>
      <c r="J123" s="61" t="str">
        <f>""</f>
        <v/>
      </c>
      <c r="K123" s="61" t="str">
        <f>""</f>
        <v/>
      </c>
      <c r="L123" s="61" t="str">
        <f>""</f>
        <v/>
      </c>
      <c r="M123" s="61" t="str">
        <f>""</f>
        <v/>
      </c>
      <c r="N123" s="471"/>
      <c r="O123" s="472"/>
      <c r="P123" s="472"/>
      <c r="Q123" s="472"/>
      <c r="R123" s="472"/>
      <c r="S123" s="472"/>
      <c r="T123" s="471"/>
      <c r="U123" s="472"/>
      <c r="V123" s="472"/>
      <c r="W123" s="472"/>
      <c r="X123" s="472"/>
      <c r="Y123" s="472"/>
      <c r="Z123" s="472"/>
      <c r="AA123" s="472"/>
      <c r="AB123" s="472"/>
      <c r="AC123" s="472"/>
      <c r="AD123" s="472"/>
      <c r="AE123" s="472"/>
      <c r="AF123" s="472"/>
      <c r="AG123" s="472"/>
      <c r="AH123" s="472"/>
    </row>
    <row r="124" spans="1:34" x14ac:dyDescent="0.2">
      <c r="A124" s="769"/>
      <c r="B124" s="538" t="str">
        <f>B120&amp;"Upd"</f>
        <v>CAM System Calib ManualUpd</v>
      </c>
      <c r="C124" s="538" t="str">
        <f>""</f>
        <v/>
      </c>
      <c r="D124" s="764">
        <f>IF(AND(D111&gt;0,D112=0),IF(NOT(AND(CAM_ChkBox_UpgradeUpdate,CAM_ChkB_RemoteUpdate,QUOTE_Split_SoftwareHardware)),D116,1),0)</f>
        <v>0</v>
      </c>
      <c r="E124" s="538">
        <v>1</v>
      </c>
      <c r="F124" s="538">
        <v>0</v>
      </c>
      <c r="G124" s="538">
        <f>TableQCalcMain[[#This Row],[ShowDesc?]]*TableQCalcMain[[#This Row],[Software]]</f>
        <v>0</v>
      </c>
      <c r="H124" s="538">
        <f>TableQCalcMain[[#This Row],[ShowDesc?]]*TableQCalcMain[[#This Row],[Hardware]]</f>
        <v>0</v>
      </c>
      <c r="I124" s="538" t="str">
        <f>"         • " &amp; IF(Francais,
"Calibration Scanner, Instructions," &amp; IF(OR(LEFT(TableQCalcMain[[#This Row],[Variable / Product ID]],3)="RHI",LEFT(TableQCalcMain[[#This Row],[Variable / Product ID]],3)="SEE")," Didacticiel vidéo,","") &amp; " Pilote TWAIN " &amp; "&amp;" &amp; " Support Technique",
"Scanner Calibration, Instructions," &amp; IF(OR(LEFT(TableQCalcMain[[#This Row],[Variable / Product ID]],3)="RHI",LEFT(TableQCalcMain[[#This Row],[Variable / Product ID]],3)="SEE")," Video tutorial,","") &amp; " TWAIN driver " &amp; "&amp;" &amp; " Technical support")
&amp; IF(LEFT(TableQCalcMain[[#This Row],[Variable / Product ID]],3)="DEN",REPT(" ",5),
IF(LEFT(TableQCalcMain[[#This Row],[Variable / Product ID]],3)="RHI",REPT(" ",6),
IF(LEFT(TableQCalcMain[[#This Row],[Variable / Product ID]],3)="FOL",REPT(" ",7),
IF(LEFT(TableQCalcMain[[#This Row],[Variable / Product ID]],3)="SEE",REPT(" ",8),
IF(LEFT(TableQCalcMain[[#This Row],[Variable / Product ID]],3)="CAM",REPT(" ",9),"")))))</f>
        <v xml:space="preserve">         • Calibration Scanner, Instructions, Pilote TWAIN &amp; Support Technique         </v>
      </c>
      <c r="J124" s="538" t="str">
        <f>J120</f>
        <v/>
      </c>
      <c r="K124" s="538">
        <f t="shared" ref="K124:M124" si="4">K120</f>
        <v>0</v>
      </c>
      <c r="L124" s="538" t="str">
        <f>IF(QUOTE_Split_SoftwareHardware,TableQCalcMain[[#This Row],[Detailed_Ext_Price]]/TableQCalcMain[[#This Row],[ShowDesc?]],"")</f>
        <v/>
      </c>
      <c r="M124" s="538">
        <f t="shared" si="4"/>
        <v>0</v>
      </c>
      <c r="N124" s="471"/>
      <c r="O124" s="472"/>
      <c r="P124" s="472"/>
      <c r="Q124" s="472"/>
      <c r="R124" s="472"/>
      <c r="S124" s="472"/>
      <c r="T124" s="471"/>
      <c r="U124" s="472"/>
      <c r="V124" s="472"/>
      <c r="W124" s="472"/>
      <c r="X124" s="472"/>
      <c r="Y124" s="472"/>
      <c r="Z124" s="472"/>
      <c r="AA124" s="472"/>
      <c r="AB124" s="472"/>
      <c r="AC124" s="472"/>
      <c r="AD124" s="472"/>
      <c r="AE124" s="472"/>
      <c r="AF124" s="472"/>
      <c r="AG124" s="472"/>
      <c r="AH124" s="472"/>
    </row>
    <row r="125" spans="1:34" x14ac:dyDescent="0.2">
      <c r="A125" s="769"/>
      <c r="B125" s="61" t="s">
        <v>83</v>
      </c>
      <c r="C125" s="61"/>
      <c r="D125" s="61">
        <v>0</v>
      </c>
      <c r="E125" s="61"/>
      <c r="F125" s="61"/>
      <c r="G125" s="61">
        <f>TableQCalcMain[[#This Row],[ShowDesc?]]*TableQCalcMain[[#This Row],[Software]]</f>
        <v>0</v>
      </c>
      <c r="H125" s="61">
        <f>TableQCalcMain[[#This Row],[ShowDesc?]]*TableQCalcMain[[#This Row],[Hardware]]</f>
        <v>0</v>
      </c>
      <c r="I125" s="61">
        <v>0</v>
      </c>
      <c r="J125" s="61" t="str">
        <f>""</f>
        <v/>
      </c>
      <c r="K125" s="61" t="str">
        <f>""</f>
        <v/>
      </c>
      <c r="L125" s="61" t="str">
        <f>""</f>
        <v/>
      </c>
      <c r="M125" s="61" t="str">
        <f>""</f>
        <v/>
      </c>
      <c r="N125" s="471"/>
      <c r="O125" s="472"/>
      <c r="P125" s="472"/>
      <c r="Q125" s="472"/>
      <c r="R125" s="472"/>
      <c r="S125" s="472"/>
      <c r="T125" s="471"/>
      <c r="U125" s="472"/>
      <c r="V125" s="472"/>
      <c r="W125" s="472"/>
      <c r="X125" s="472"/>
      <c r="Y125" s="472"/>
      <c r="Z125" s="472"/>
      <c r="AA125" s="472"/>
      <c r="AB125" s="472"/>
      <c r="AC125" s="472"/>
      <c r="AD125" s="472"/>
      <c r="AE125" s="472"/>
      <c r="AF125" s="472"/>
      <c r="AG125" s="472"/>
      <c r="AH125" s="472"/>
    </row>
    <row r="126" spans="1:34" x14ac:dyDescent="0.2">
      <c r="A126" s="769"/>
      <c r="B126" s="61" t="s">
        <v>84</v>
      </c>
      <c r="C126" s="61">
        <f>IF(TableQCalcMain[[#This Row],[Unit_Price]]&gt;0,TableQCalcMain[[#This Row],[ShowDesc?]],"")</f>
        <v>0</v>
      </c>
      <c r="D126" s="61">
        <f>IF(TableQCalcMain[[#This Row],[Unit_Price]]&gt;0,CAM_Option2-1,0)</f>
        <v>0</v>
      </c>
      <c r="E126" s="61"/>
      <c r="F126" s="61">
        <v>1</v>
      </c>
      <c r="G126" s="61">
        <f>TableQCalcMain[[#This Row],[ShowDesc?]]*TableQCalcMain[[#This Row],[Software]]</f>
        <v>0</v>
      </c>
      <c r="H126" s="61">
        <f>TableQCalcMain[[#This Row],[ShowDesc?]]*TableQCalcMain[[#This Row],[Hardware]]</f>
        <v>0</v>
      </c>
      <c r="I126" s="61" t="str">
        <f>WinCAM!$D$24 &amp; REPT(" ",1)</f>
        <v xml:space="preserve">PICK* 12" x 16" Incl. 1 Presse-feuille Bleu, 1 Blanc &amp; Cibles d'Étalonnage </v>
      </c>
      <c r="J126" s="61">
        <f>WinCAM!$I$24</f>
        <v>900691</v>
      </c>
      <c r="K126" s="61" t="str">
        <f>""</f>
        <v/>
      </c>
      <c r="L126" s="61">
        <f>ROUND(
IF(Distributeurs_Rabais,IFERROR(WinCAM!#REF!,0),WinCAM!G24),
2)</f>
        <v>246</v>
      </c>
      <c r="M126" s="61" t="str">
        <f>IFERROR(
IF(TableQCalcMain[[#This Row],[Unit_Price]]*TableQCalcMain[[#This Row],[Real_Quantity]]&gt;0,
TableQCalcMain[[#This Row],[Unit_Price]]*TableQCalcMain[[#This Row],[Real_Quantity]],""),"")</f>
        <v/>
      </c>
      <c r="N126" s="471"/>
      <c r="O126" s="472"/>
      <c r="P126" s="472"/>
      <c r="Q126" s="472"/>
      <c r="R126" s="472"/>
      <c r="S126" s="472"/>
      <c r="T126" s="471"/>
      <c r="U126" s="472"/>
      <c r="V126" s="472"/>
      <c r="W126" s="472"/>
      <c r="X126" s="472"/>
      <c r="Y126" s="472"/>
      <c r="Z126" s="472"/>
      <c r="AA126" s="472"/>
      <c r="AB126" s="472"/>
      <c r="AC126" s="472"/>
      <c r="AD126" s="472"/>
      <c r="AE126" s="472"/>
      <c r="AF126" s="472"/>
      <c r="AG126" s="472"/>
      <c r="AH126" s="472"/>
    </row>
    <row r="127" spans="1:34" x14ac:dyDescent="0.2">
      <c r="A127" s="769"/>
      <c r="B127" s="61" t="s">
        <v>85</v>
      </c>
      <c r="C127" s="61">
        <f>IF(TableQCalcMain[[#This Row],[Unit_Price]]&gt;0,TableQCalcMain[[#This Row],[ShowDesc?]],0)</f>
        <v>0</v>
      </c>
      <c r="D127" s="61">
        <f>IF(TableQCalcMain[[#This Row],[Unit_Price]]&gt;0,CAM_Option3-1,0)</f>
        <v>0</v>
      </c>
      <c r="E127" s="61"/>
      <c r="F127" s="61">
        <v>1</v>
      </c>
      <c r="G127" s="61">
        <f>TableQCalcMain[[#This Row],[ShowDesc?]]*TableQCalcMain[[#This Row],[Software]]</f>
        <v>0</v>
      </c>
      <c r="H127" s="61">
        <f>TableQCalcMain[[#This Row],[ShowDesc?]]*TableQCalcMain[[#This Row],[Hardware]]</f>
        <v>0</v>
      </c>
      <c r="I127" s="61" t="str">
        <f>WinCAM!$D$25 &amp; REPT(" ",1)</f>
        <v xml:space="preserve">PICK* 18" x 24" Incl. 1 Presse-feuille Bleu, 1 Blanc &amp; Cibles d'Étalonnage </v>
      </c>
      <c r="J127" s="61">
        <f>WinCAM!$I$24</f>
        <v>900691</v>
      </c>
      <c r="K127" s="61" t="str">
        <f>""</f>
        <v/>
      </c>
      <c r="L127" s="61">
        <f>ROUND(
IF(Distributeurs_Rabais,IFERROR(WinCAM!#REF!,0),WinCAM!G25),
2)</f>
        <v>457</v>
      </c>
      <c r="M127" s="61" t="str">
        <f>IFERROR(
IF(TableQCalcMain[[#This Row],[Unit_Price]]*TableQCalcMain[[#This Row],[Real_Quantity]]&gt;0,
TableQCalcMain[[#This Row],[Unit_Price]]*TableQCalcMain[[#This Row],[Real_Quantity]],""),"")</f>
        <v/>
      </c>
      <c r="N127" s="471"/>
      <c r="O127" s="472"/>
      <c r="P127" s="472"/>
      <c r="Q127" s="472"/>
      <c r="R127" s="472"/>
      <c r="S127" s="472"/>
      <c r="T127" s="471"/>
      <c r="U127" s="472"/>
      <c r="V127" s="472"/>
      <c r="W127" s="472"/>
      <c r="X127" s="472"/>
      <c r="Y127" s="472"/>
      <c r="Z127" s="472"/>
      <c r="AA127" s="472"/>
      <c r="AB127" s="472"/>
      <c r="AC127" s="472"/>
      <c r="AD127" s="472"/>
      <c r="AE127" s="472"/>
      <c r="AF127" s="472"/>
      <c r="AG127" s="472"/>
      <c r="AH127" s="472"/>
    </row>
    <row r="128" spans="1:34" x14ac:dyDescent="0.2">
      <c r="A128" s="769"/>
      <c r="B128" s="61" t="s">
        <v>214</v>
      </c>
      <c r="C128" s="61">
        <f>IF(TableQCalcMain[[#This Row],[Unit_Price]]&gt;0,TableQCalcMain[[#This Row],[ShowDesc?]],0)</f>
        <v>0</v>
      </c>
      <c r="D128" s="61">
        <f>IF(TableQCalcMain[[#This Row],[Unit_Price]]&gt;0,CAM_Option4-1,0)</f>
        <v>0</v>
      </c>
      <c r="E128" s="61"/>
      <c r="F128" s="61">
        <v>1</v>
      </c>
      <c r="G128" s="61">
        <f>TableQCalcMain[[#This Row],[ShowDesc?]]*TableQCalcMain[[#This Row],[Software]]</f>
        <v>0</v>
      </c>
      <c r="H128" s="61">
        <f>TableQCalcMain[[#This Row],[ShowDesc?]]*TableQCalcMain[[#This Row],[Hardware]]</f>
        <v>0</v>
      </c>
      <c r="I128" s="61" t="str">
        <f>WinCAM!D26 &amp; IF(Francais, " (pour scanner"," (for")&amp;IF(CAM_IndexScanner=1," STD4800","")&amp;IF(CAM_IndexScanner=2," LA2400","")&amp;IF(CAM_IndexScanner=3," LC4800P","") &amp; IF(Francais, ")"," scanner)") &amp; REPT(" ",5)</f>
        <v xml:space="preserve">Fond Bleu pour Analyse Couleur (pour scanner STD4800)     </v>
      </c>
      <c r="J128" s="61">
        <f>WinCAM!$I$24</f>
        <v>900691</v>
      </c>
      <c r="K128" s="61" t="str">
        <f>""</f>
        <v/>
      </c>
      <c r="L128" s="61">
        <f>ROUND(
IF(Distributeurs_Rabais,IFERROR(WinCAM!#REF!,0),WinCAM!G26),
2)</f>
        <v>28</v>
      </c>
      <c r="M128" s="61" t="str">
        <f>IFERROR(
IF(TableQCalcMain[[#This Row],[Unit_Price]]*TableQCalcMain[[#This Row],[Real_Quantity]]&gt;0,
TableQCalcMain[[#This Row],[Unit_Price]]*TableQCalcMain[[#This Row],[Real_Quantity]],""),"")</f>
        <v/>
      </c>
      <c r="N128" s="471"/>
      <c r="O128" s="472"/>
      <c r="P128" s="472"/>
      <c r="Q128" s="472"/>
      <c r="R128" s="472"/>
      <c r="S128" s="472"/>
      <c r="T128" s="471"/>
      <c r="U128" s="472"/>
      <c r="V128" s="472"/>
      <c r="W128" s="472"/>
      <c r="X128" s="472"/>
      <c r="Y128" s="472"/>
      <c r="Z128" s="472"/>
      <c r="AA128" s="472"/>
      <c r="AB128" s="472"/>
      <c r="AC128" s="472"/>
      <c r="AD128" s="472"/>
      <c r="AE128" s="472"/>
      <c r="AF128" s="472"/>
      <c r="AG128" s="472"/>
      <c r="AH128" s="472"/>
    </row>
    <row r="129" spans="1:34" x14ac:dyDescent="0.2">
      <c r="B129" s="542" t="s">
        <v>108</v>
      </c>
      <c r="C129" s="542" t="str">
        <f>""</f>
        <v/>
      </c>
      <c r="D129" s="542">
        <f>SUM(D111:D128)</f>
        <v>0</v>
      </c>
      <c r="E129" s="542">
        <v>1</v>
      </c>
      <c r="F129" s="542">
        <v>1</v>
      </c>
      <c r="G129" s="542">
        <f>SUM(G111:G128)</f>
        <v>0</v>
      </c>
      <c r="H129" s="542">
        <f>SUM(H111:H128)</f>
        <v>0</v>
      </c>
      <c r="I129" s="542" t="str">
        <f>REPT(" ",6)</f>
        <v xml:space="preserve">      </v>
      </c>
      <c r="J129" s="542" t="str">
        <f>""</f>
        <v/>
      </c>
      <c r="K129" s="542" t="str">
        <f>""</f>
        <v/>
      </c>
      <c r="L129" s="542" t="str">
        <f>""</f>
        <v/>
      </c>
      <c r="M129" s="542" t="str">
        <f>""</f>
        <v/>
      </c>
      <c r="N129" s="471"/>
      <c r="O129" s="472"/>
      <c r="P129" s="472"/>
      <c r="Q129" s="472"/>
      <c r="R129" s="472"/>
      <c r="S129" s="472"/>
      <c r="T129" s="471"/>
      <c r="U129" s="472"/>
      <c r="V129" s="472"/>
      <c r="W129" s="472"/>
      <c r="X129" s="472"/>
      <c r="Y129" s="472"/>
      <c r="Z129" s="472"/>
      <c r="AA129" s="472"/>
      <c r="AB129" s="472"/>
      <c r="AC129" s="472"/>
      <c r="AD129" s="472"/>
      <c r="AE129" s="472"/>
      <c r="AF129" s="472"/>
      <c r="AG129" s="472"/>
      <c r="AH129" s="472"/>
    </row>
    <row r="130" spans="1:34" x14ac:dyDescent="0.2">
      <c r="A130" s="770"/>
      <c r="B130" s="61" t="s">
        <v>86</v>
      </c>
      <c r="C130" s="61">
        <f>SCANOPY_N_System-1</f>
        <v>0</v>
      </c>
      <c r="D130" s="61">
        <f>IF(IFERROR(WinSCANOPY!$H$14+0,0)&gt;0,SCANOPY_N_System-1,0)</f>
        <v>0</v>
      </c>
      <c r="E130" s="61">
        <v>1</v>
      </c>
      <c r="F130" s="61"/>
      <c r="G130" s="61">
        <v>0</v>
      </c>
      <c r="H130" s="61">
        <v>0</v>
      </c>
      <c r="I130" s="61" t="str">
        <f>QCalc!I202 &amp; IF(Francais," Incluant:"," Including:")&amp; REPT(" ",5)</f>
        <v xml:space="preserve">WinSCANOPY™ Reg 2025 Logiciel Incluant:     </v>
      </c>
      <c r="J130" s="61">
        <f>WinSCANOPY!I14</f>
        <v>903149</v>
      </c>
      <c r="K130" s="61">
        <f>TableQCalcMain[[#This Row],[Extended_price]]</f>
        <v>0</v>
      </c>
      <c r="L130" s="61" t="str">
        <f>IF(OR(TableQCalcMain[[#This Row],[Real_Quantity]]=0,TableQCalcMain[[#This Row],[Extended_price]]=0),"",ROUND(TableQCalcMain[[#This Row],[Extended_price]]/TableQCalcMain[[#This Row],[Real_Quantity]],2))</f>
        <v/>
      </c>
      <c r="M130" s="713">
        <f>ROUND(IF(Distributeurs_Rabais,
IFERROR(WinSCANOPY!#REF! + IF(ISNUMBER(WinSCANOPY!#REF!),WinSCANOPY!#REF!,0),0),
WinSCANOPY!H4 + IF(ISNUMBER(WinSCANOPY!H14),WinSCANOPY!H14,0))+0*K132,0)</f>
        <v>0</v>
      </c>
      <c r="N130" s="471"/>
      <c r="O130" s="472"/>
      <c r="P130" s="472"/>
      <c r="Q130" s="472"/>
      <c r="R130" s="472"/>
      <c r="S130" s="472"/>
      <c r="T130" s="471"/>
      <c r="U130" s="472"/>
      <c r="V130" s="472"/>
      <c r="W130" s="472"/>
      <c r="X130" s="472"/>
      <c r="Y130" s="472"/>
      <c r="Z130" s="472"/>
      <c r="AA130" s="472"/>
      <c r="AB130" s="472"/>
      <c r="AC130" s="472"/>
      <c r="AD130" s="472"/>
      <c r="AE130" s="472"/>
      <c r="AF130" s="472"/>
      <c r="AG130" s="472"/>
      <c r="AH130" s="472"/>
    </row>
    <row r="131" spans="1:34" x14ac:dyDescent="0.2">
      <c r="A131" s="770"/>
      <c r="B131" s="546" t="s">
        <v>87</v>
      </c>
      <c r="C131" s="547">
        <f>IF(AND(NOT(QUOTE_Split_SoftwareHardware),N(D130)&gt;0),
IF(SCANOPY_N_Software-1=0,0,SCANOPY_N_Software-1),SCANOPY_N_Software-1)</f>
        <v>0</v>
      </c>
      <c r="D131" s="61">
        <f>TableQCalcMain[[#This Row],[Real_Quantity]]</f>
        <v>0</v>
      </c>
      <c r="E131" s="61">
        <v>1</v>
      </c>
      <c r="F131" s="61"/>
      <c r="G131" s="61">
        <f>N(TableQCalcMain[[#This Row],[ShowDesc?]])*TableQCalcMain[[#This Row],[Software]]</f>
        <v>0</v>
      </c>
      <c r="H131" s="61">
        <f>N(TableQCalcMain[[#This Row],[ShowDesc?]])*TableQCalcMain[[#This Row],[Hardware]]</f>
        <v>0</v>
      </c>
      <c r="I131" s="61" t="str">
        <f>IF(OR(SCANOPY_N_System=1,QUOTE_Split_SoftwareHardware),"","   • ") &amp; SUBSTITUTE(LEFT(INDEX(SCANOPY_SoftwareFullNames,SCANOPY_IndexSoftware),FIND(" ",INDEX(SCANOPY_SoftwareFullNames,SCANOPY_IndexSoftware),FIND(" ",INDEX(SCANOPY_SoftwareFullNames,SCANOPY_IndexSoftware))+1)),"™",IF(OR(SCANOPY_N_System=1,QUOTE_Split_SoftwareHardware),"™",""))&amp;
SCANOPY_YearMostRecent &amp; " " &amp; "&amp;" &amp; " XLScanopy" &amp; IF(OR(SCANOPY_IndexSoftware=1,SCANOPY_IndexSoftware=4)," Mini","") &amp;
IF(Francais," Logiciels"," Software")&amp; IF(QUOTE_Split_SoftwareHardware,IF(QUOTE_InternetDownload,IF(Francais, ", Téléchargement Internet", ", Internet download"),IF(Francais, ", Envoyé par transporteur", ", Shipped by courier")),IF(Francais," sur media USB (manuels PDF &amp; imprimés)"," on USB drive (PDF &amp; printed manuals)")) &amp;
IF(AND(QUOTE_SameClient=TRUE,SCANOPY_N_Software+SCANOPY_N_AlreadyHaveSoftware&gt;3),IF(Francais," (incl. rabais multi licenses"," (incl. multi licenses discount")&amp;
" "&amp;TEXT(ROUND((INDEX(SCANOPY_SoftwarePriceList,SCANOPY_IndexSoftware))*((SCANOPY_N_Software-1)-IF(SCANOPY_N_Software-1=0,0,SUM(MMULT(
  _xlfn.MUNIT(
   SCANOPY_N_Software-1),
    INDEX(TableLists[Column10],SCANOPY_N_AlreadyHaveSoftware-1+2):
    INDEX(TableLists[Column10],(SCANOPY_N_AlreadyHaveSoftware-1+1)+(SCANOPY_N_Software-1))
))))*(1-RebateSoftware*Distributeurs_Rabais),0),"0.00")&amp;")","")</f>
        <v>WinSCANOPY™ Reg 2025 &amp; XLScanopy Logiciels sur media USB (manuels PDF &amp; imprimés)</v>
      </c>
      <c r="J131" s="61">
        <f>IF(AND(SCANOPY_N_System&gt;1,NOT(QUOTE_Split_SoftwareHardware)),
"",WinSCANOPY!I4)</f>
        <v>852349</v>
      </c>
      <c r="K131" s="61">
        <f>ROUND((INDEX(SCANOPY_SoftwarePriceList,SCANOPY_IndexSoftware))*
IF(SCANOPY_N_Software-1=0,0,SUM(MMULT(
  _xlfn.MUNIT(
   SCANOPY_N_Software-1),
    INDEX(TableLists[Column10],SCANOPY_N_AlreadyHaveSoftware-1+2):
    INDEX(TableLists[Column10],(SCANOPY_N_AlreadyHaveSoftware-1+1)+(SCANOPY_N_Software-1))
)))*(1-RebateSoftware*Distributeurs_Rabais)
-IF(QUOTE_Split_SoftwareHardware,PrixUSBKey*(SCANOPY_N_Software-1),0),0)</f>
        <v>0</v>
      </c>
      <c r="L131" s="61" t="str">
        <f>IF(OR(TableQCalcMain[[#This Row],[Real_Quantity]]=0,TableQCalcMain[[#This Row],[Extended_price]]=0),"",ROUND(TableQCalcMain[[#This Row],[Extended_price]]/TableQCalcMain[[#This Row],[Real_Quantity]],2))</f>
        <v/>
      </c>
      <c r="M131" s="782">
        <f>ROUND(
IF(SCANOPY_N_System&gt;1,
IF(NOT(QUOTE_Split_SoftwareHardware),0,TableQCalcMain[[#This Row],[Detailed_Ext_Price]]),
(INDEX(SCANOPY_SoftwarePriceList,SCANOPY_IndexSoftware))*
IF(SCANOPY_N_Software-1=0,0,SUM(MMULT(
  _xlfn.MUNIT(
   SCANOPY_N_Software-1),
    INDEX(TableLists[Column10],SCANOPY_N_AlreadyHaveSoftware-1+2):
    INDEX(TableLists[Column10],(SCANOPY_N_AlreadyHaveSoftware-1+1)+(SCANOPY_N_Software-1))
))
)*(1-RebateSoftware*Distributeurs_Rabais)
-IF(QUOTE_Split_SoftwareHardware,PrixUSBKey*(SCANOPY_N_Software-1),0)
),0)</f>
        <v>0</v>
      </c>
      <c r="N131" s="471"/>
      <c r="O131" s="472"/>
      <c r="P131" s="472"/>
      <c r="Q131" s="472"/>
      <c r="R131" s="472"/>
      <c r="S131" s="472"/>
      <c r="T131" s="471"/>
      <c r="U131" s="472"/>
      <c r="V131" s="472"/>
      <c r="W131" s="472"/>
      <c r="X131" s="472"/>
      <c r="Y131" s="472"/>
      <c r="Z131" s="472"/>
      <c r="AA131" s="472"/>
      <c r="AB131" s="472"/>
      <c r="AC131" s="472"/>
      <c r="AD131" s="472"/>
      <c r="AE131" s="472"/>
      <c r="AF131" s="472"/>
      <c r="AG131" s="472"/>
      <c r="AH131" s="472"/>
    </row>
    <row r="132" spans="1:34" x14ac:dyDescent="0.2">
      <c r="A132" s="770"/>
      <c r="B132" s="565" t="s">
        <v>749</v>
      </c>
      <c r="C132" s="567" t="str">
        <f>""</f>
        <v/>
      </c>
      <c r="D132" s="567">
        <f>IF(AND(
C130&lt;&gt;0,C131=0,
NOT(QUOTE_Split_SoftwareHardware),
IFERROR(QCalc!$F$202,0)&gt;0
),C143,0)+N("Si il y a un système sans software (update only) et que facture est pas split, afficher UpgradeUpdate en tant que Software dans système")</f>
        <v>0</v>
      </c>
      <c r="E132" s="61"/>
      <c r="F132" s="61"/>
      <c r="G132" s="61"/>
      <c r="H132" s="61"/>
      <c r="I132" s="565" t="str">
        <f>"   • " &amp; I143</f>
        <v xml:space="preserve">   • Mise à jour de WinSCANOPY™ Reg 2019 à WinSCANOPY™ Reg 2025 &amp; XLScanopy sur media USB (manuels PDF &amp; imprimés)</v>
      </c>
      <c r="J132" s="565">
        <f>J143</f>
        <v>852349</v>
      </c>
      <c r="K132" s="565">
        <f>IF(TableQCalcMain[[#This Row],[ShowDesc?]]=0,0,M143)</f>
        <v>0</v>
      </c>
      <c r="L132" s="61"/>
      <c r="M132" s="61"/>
      <c r="N132" s="471"/>
      <c r="O132" s="472"/>
      <c r="P132" s="472"/>
      <c r="Q132" s="472"/>
      <c r="R132" s="472"/>
      <c r="S132" s="472"/>
      <c r="T132" s="471"/>
      <c r="U132" s="472"/>
      <c r="V132" s="472"/>
      <c r="W132" s="472"/>
      <c r="X132" s="472"/>
      <c r="Y132" s="472"/>
      <c r="Z132" s="472"/>
      <c r="AA132" s="472"/>
      <c r="AB132" s="472"/>
      <c r="AC132" s="472"/>
      <c r="AD132" s="472"/>
      <c r="AE132" s="472"/>
      <c r="AF132" s="472"/>
      <c r="AG132" s="472"/>
      <c r="AH132" s="472"/>
    </row>
    <row r="133" spans="1:34" x14ac:dyDescent="0.2">
      <c r="A133" s="770"/>
      <c r="B133" s="470" t="s">
        <v>336</v>
      </c>
      <c r="C133" s="61" t="str">
        <f>""</f>
        <v/>
      </c>
      <c r="D133" s="61">
        <f>IF(QUOTE_Split_SoftwareHardware,N($C$131),0)</f>
        <v>0</v>
      </c>
      <c r="E133" s="61">
        <v>1</v>
      </c>
      <c r="F133" s="61"/>
      <c r="G133" s="61">
        <f>TableQCalcMain[[#This Row],[ShowDesc?]]*TableQCalcMain[[#This Row],[Software]]</f>
        <v>0</v>
      </c>
      <c r="H133" s="61"/>
      <c r="I133" s="61" t="str">
        <f>"         • " &amp; IF(AND(QUOTE_Split_SoftwareHardware,QUOTE_InternetDownload),
IF(Francais,"Logiciels et documents d'instructions (fichiers PDF)","Software &amp; Instructions documents (PDF files)"),
IF(Francais,"Logiciel et documents d'instructions (" &amp; IF(QUOTE_InternetDownload,"sur clé USB","PDF") &amp; " et imprimés)","Software &amp; Instructions documents (" &amp; IF(QUOTE_InternetDownload,"on USB Key","PDF") &amp; " &amp; printed)"))
&amp;REPT(" ",14)</f>
        <v xml:space="preserve">         • Logiciel et documents d'instructions (PDF et imprimés)              </v>
      </c>
      <c r="J133" s="61" t="str">
        <f>""</f>
        <v/>
      </c>
      <c r="K133" s="61" t="str">
        <f>""</f>
        <v/>
      </c>
      <c r="L133" s="61" t="str">
        <f>""</f>
        <v/>
      </c>
      <c r="M133" s="61" t="str">
        <f>""</f>
        <v/>
      </c>
      <c r="N133" s="471"/>
      <c r="O133" s="472"/>
      <c r="P133" s="472"/>
      <c r="Q133" s="472"/>
      <c r="R133" s="472"/>
      <c r="S133" s="472"/>
      <c r="T133" s="471"/>
      <c r="U133" s="472"/>
      <c r="V133" s="472"/>
      <c r="W133" s="472"/>
      <c r="X133" s="472"/>
      <c r="Y133" s="472"/>
      <c r="Z133" s="472"/>
      <c r="AA133" s="472"/>
      <c r="AB133" s="472"/>
      <c r="AC133" s="472"/>
      <c r="AD133" s="472"/>
      <c r="AE133" s="472"/>
      <c r="AF133" s="472"/>
      <c r="AG133" s="472"/>
      <c r="AH133" s="472"/>
    </row>
    <row r="134" spans="1:34" x14ac:dyDescent="0.2">
      <c r="A134" s="770"/>
      <c r="B134" s="61" t="s">
        <v>88</v>
      </c>
      <c r="C134" s="61">
        <f xml:space="preserve"> IF(OR(SCANOPY_IndexSoftware=1,SCANOPY_IndexSoftware=4),0,(SCANOPY_N_Software-1))</f>
        <v>0</v>
      </c>
      <c r="D134" s="61">
        <f>0* IF(OR(SCANOPY_IndexSoftware=1,SCANOPY_IndexSoftware=4),0,(SCANOPY_N_Software-1))</f>
        <v>0</v>
      </c>
      <c r="E134" s="61">
        <v>1</v>
      </c>
      <c r="F134" s="61"/>
      <c r="G134" s="61">
        <f>TableQCalcMain[[#This Row],[ShowDesc?]]*TableQCalcMain[[#This Row],[Software]]</f>
        <v>0</v>
      </c>
      <c r="H134" s="61">
        <f>TableQCalcMain[[#This Row],[ShowDesc?]]*TableQCalcMain[[#This Row],[Hardware]]</f>
        <v>0</v>
      </c>
      <c r="I134" s="61" t="str">
        <f>IF(SCANOPY_N_System=1,"","   • ")&amp;IF(Francais,"XLScanopy Logiciel pour l'Analyse des données de WinSCANOPY","XLScanopy Software for WinSCANOPY's data Analysis")</f>
        <v>XLScanopy Logiciel pour l'Analyse des données de WinSCANOPY</v>
      </c>
      <c r="J134" s="61" t="str">
        <f>""</f>
        <v/>
      </c>
      <c r="K134" s="61" t="s">
        <v>162</v>
      </c>
      <c r="L134" s="61" t="str">
        <f>""</f>
        <v/>
      </c>
      <c r="M134" s="61" t="str">
        <f>""</f>
        <v/>
      </c>
      <c r="N134" s="471"/>
      <c r="O134" s="472"/>
      <c r="P134" s="472"/>
      <c r="Q134" s="472"/>
      <c r="R134" s="472"/>
      <c r="S134" s="472"/>
      <c r="T134" s="471"/>
      <c r="U134" s="472"/>
      <c r="V134" s="472"/>
      <c r="W134" s="472"/>
      <c r="X134" s="472"/>
      <c r="Y134" s="472"/>
      <c r="Z134" s="472"/>
      <c r="AA134" s="472"/>
      <c r="AB134" s="472"/>
      <c r="AC134" s="472"/>
      <c r="AD134" s="472"/>
      <c r="AE134" s="472"/>
      <c r="AF134" s="472"/>
      <c r="AG134" s="472"/>
      <c r="AH134" s="472"/>
    </row>
    <row r="135" spans="1:34" x14ac:dyDescent="0.2">
      <c r="A135" s="770"/>
      <c r="B135" s="61" t="s">
        <v>90</v>
      </c>
      <c r="C135" s="61">
        <f xml:space="preserve"> IF(OR(SCANOPY_IndexSoftware=1,SCANOPY_IndexSoftware=4),(SCANOPY_N_Software-1),0)</f>
        <v>0</v>
      </c>
      <c r="D135" s="61">
        <f>0* IF(OR(SCANOPY_IndexSoftware=1,SCANOPY_IndexSoftware=4),(SCANOPY_N_Software-1),0)</f>
        <v>0</v>
      </c>
      <c r="E135" s="61">
        <v>1</v>
      </c>
      <c r="F135" s="61"/>
      <c r="G135" s="61">
        <f>TableQCalcMain[[#This Row],[ShowDesc?]]*TableQCalcMain[[#This Row],[Software]]</f>
        <v>0</v>
      </c>
      <c r="H135" s="61">
        <f>TableQCalcMain[[#This Row],[ShowDesc?]]*TableQCalcMain[[#This Row],[Hardware]]</f>
        <v>0</v>
      </c>
      <c r="I135" s="61" t="str">
        <f>IF(SCANOPY_N_System=1,"","   • ")&amp;IF(Francais,"XLScanopy Mini Logiciel pour l'Analyse des données de WinSCANOPY Mini","XLScanopy Mini Software for WinSCANOPY Mini's data Analysis")</f>
        <v>XLScanopy Mini Logiciel pour l'Analyse des données de WinSCANOPY Mini</v>
      </c>
      <c r="J135" s="61" t="str">
        <f>""</f>
        <v/>
      </c>
      <c r="K135" s="61" t="s">
        <v>162</v>
      </c>
      <c r="L135" s="61" t="str">
        <f>""</f>
        <v/>
      </c>
      <c r="M135" s="61" t="str">
        <f>""</f>
        <v/>
      </c>
      <c r="N135" s="471"/>
      <c r="O135" s="472"/>
      <c r="P135" s="472"/>
      <c r="Q135" s="472"/>
      <c r="R135" s="472"/>
      <c r="S135" s="472"/>
      <c r="T135" s="471"/>
      <c r="U135" s="472"/>
      <c r="V135" s="472"/>
      <c r="W135" s="472"/>
      <c r="X135" s="472"/>
      <c r="Y135" s="472"/>
      <c r="Z135" s="472"/>
      <c r="AA135" s="472"/>
      <c r="AB135" s="472"/>
      <c r="AC135" s="472"/>
      <c r="AD135" s="472"/>
      <c r="AE135" s="472"/>
      <c r="AF135" s="472"/>
      <c r="AG135" s="472"/>
      <c r="AH135" s="472"/>
    </row>
    <row r="136" spans="1:34" x14ac:dyDescent="0.2">
      <c r="A136" s="770"/>
      <c r="B136" s="61" t="s">
        <v>326</v>
      </c>
      <c r="C136" s="61">
        <f>N($C$131)+N($C$143)</f>
        <v>0</v>
      </c>
      <c r="D136" s="764">
        <f>IF(AND(QUOTE_Split_SoftwareHardware,TableQCalcMain[[#This Row],[Real_Quantity]]&gt;0,NOT(AND(SCANOPY_ChkBox_UpgradeUpdate,SCANOPY_ChkB_RemoteUpdate))),1,0)</f>
        <v>0</v>
      </c>
      <c r="E136" s="61">
        <f>IF(QUOTE_InternetDownload,0,1)</f>
        <v>1</v>
      </c>
      <c r="F136" s="61">
        <f>IF(QUOTE_InternetDownload,1,0)</f>
        <v>0</v>
      </c>
      <c r="G136" s="61">
        <f>TableQCalcMain[[#This Row],[ShowDesc?]]*TableQCalcMain[[#This Row],[Software]]</f>
        <v>0</v>
      </c>
      <c r="H136" s="61">
        <f>TableQCalcMain[[#This Row],[ShowDesc?]]*TableQCalcMain[[#This Row],[Hardware]]</f>
        <v>0</v>
      </c>
      <c r="I136" s="469" t="str">
        <f xml:space="preserve">   SUBSTITUTE(
   IF(Francais,
"Clé USB pour WinSOFTWARE" &amp; IF(TableQCalcMain[[#This Row],[Hardware]]=1," et documents d'Instructions (expédiés par transporteur)",""),
"USB drive for WinSOFTWARE" &amp; IF(TableQCalcMain[[#This Row],[Hardware]]=1," and Instructions documents (shipped by courier)","")),
   "WinSOFTWARE","Win" &amp;  LEFT(TableQCalcMain[[#This Row],[Variable / Product ID]],FIND("_",TableQCalcMain[[#This Row],[Variable / Product ID]])-1) &amp; " " &amp; INDEX(SCANOPY_UpgradeNameShort,SCANOPY_IndexSoftware))</f>
        <v>Clé USB pour WinSCANOPY Reg</v>
      </c>
      <c r="J136" s="61">
        <v>852351</v>
      </c>
      <c r="K136" s="61">
        <f>TableQCalcMain[[#This Row],[Extended_price]]</f>
        <v>0</v>
      </c>
      <c r="L136" s="61" t="str">
        <f>IF(OR(TableQCalcMain[[#This Row],[Real_Quantity]]=0,TableQCalcMain[[#This Row],[Extended_price]]=0),"",ROUND(TableQCalcMain[[#This Row],[Extended_price]]/TableQCalcMain[[#This Row],[Real_Quantity]],2))</f>
        <v/>
      </c>
      <c r="M136" s="61">
        <f>PrixUSBKey*TableQCalcMain[[#This Row],[Real_Quantity]]</f>
        <v>0</v>
      </c>
      <c r="N136" s="471"/>
      <c r="O136" s="472"/>
      <c r="P136" s="472"/>
      <c r="Q136" s="472"/>
      <c r="R136" s="472"/>
      <c r="S136" s="472"/>
      <c r="T136" s="471"/>
      <c r="U136" s="472"/>
      <c r="V136" s="472"/>
      <c r="W136" s="472"/>
      <c r="X136" s="472"/>
      <c r="Y136" s="472"/>
      <c r="Z136" s="472"/>
      <c r="AA136" s="472"/>
      <c r="AB136" s="472"/>
      <c r="AC136" s="472"/>
      <c r="AD136" s="472"/>
      <c r="AE136" s="472"/>
      <c r="AF136" s="472"/>
      <c r="AG136" s="472"/>
      <c r="AH136" s="472"/>
    </row>
    <row r="137" spans="1:34" x14ac:dyDescent="0.2">
      <c r="A137" s="770"/>
      <c r="B137" s="61" t="s">
        <v>101</v>
      </c>
      <c r="C137" s="61" t="str">
        <f>IF(NOT(QUOTE_Split_SoftwareHardware),"",C130)</f>
        <v/>
      </c>
      <c r="D137" s="61">
        <f>$D$130</f>
        <v>0</v>
      </c>
      <c r="E137" s="61"/>
      <c r="F137" s="61">
        <v>1</v>
      </c>
      <c r="G137" s="61">
        <f>TableQCalcMain[[#This Row],[ShowDesc?]]*TableQCalcMain[[#This Row],[Software]]</f>
        <v>0</v>
      </c>
      <c r="H137" s="61">
        <f>TableQCalcMain[[#This Row],[ShowDesc?]]*TableQCalcMain[[#This Row],[Hardware]]</f>
        <v>0</v>
      </c>
      <c r="I137" s="466" t="str">
        <f>IF(OR(SCANOPY_N_System=1,QUOTE_Split_SoftwareHardware),"","   • ")   &amp;
IF(SCANOPY_IndexScanner=1,
IF(Francais,"Caméra Compacte 24 MP DSLR &amp; Accessoires","24 MP Compact DSLR Camera &amp; Accessories"),
IF(Francais,"Caméra Compacte 24 MP Mini Point&amp;Shoot &amp; Accessoires","24 MP Mini Point&amp;Shoot Camera &amp; Accessories"))
 &amp; REPT(" ",72)&amp; "S/N:" &amp; SCANOPY_Serial</f>
        <v>Caméra Compacte 24 MP DSLR &amp; Accessoires                                                                        S/N:</v>
      </c>
      <c r="J137" s="61" t="str">
        <f>IF(QUOTE_Split_SoftwareHardware,852589,"")</f>
        <v/>
      </c>
      <c r="K137" s="541">
        <f>IF(Distributeurs_Rabais,
IF(AND(SCANOPY_N_Software = 1, SCANOPY_N_UpgradeUpdate = 1, NOT(SuperUser), SCANOPY_N_System &gt; 1), 0,
    ROUND(
        IF(SCANOPY_IndexScanner = 1, PrixSLR24MiniTrepiedValise_Dist, PrixGP27MiniTrepiedValise_Dist), 0)
),
IF(AND(SCANOPY_N_Software = 1, SCANOPY_N_UpgradeUpdate = 1, NOT(SuperUser), SCANOPY_N_System &gt; 1), "sold with software only",
    ROUND(
        IF(SCANOPY_IndexScanner = 1, PrixSLR24MiniTrepiedValise, PrixGP27MiniTrepiedValise), 0))
) * (SCANOPY_N_System - 1) - K141 - IF(NOT(QUOTE_Split_SoftwareHardware), N(K138), 0) - N(K139)</f>
        <v>0</v>
      </c>
      <c r="L137" s="61">
        <f>IF(C134=0,0,ROUND(TableQCalcMain[[#This Row],[Extended_price]]/C134,2))</f>
        <v>0</v>
      </c>
      <c r="M137" s="61">
        <f>IF(NOT(QUOTE_Split_SoftwareHardware),0,TableQCalcMain[[#This Row],[Detailed_Ext_Price]])</f>
        <v>0</v>
      </c>
      <c r="N137" s="471"/>
      <c r="O137" s="472"/>
      <c r="P137" s="472"/>
      <c r="Q137" s="472"/>
      <c r="R137" s="472"/>
      <c r="S137" s="472"/>
      <c r="T137" s="471"/>
      <c r="U137" s="472"/>
      <c r="V137" s="472"/>
      <c r="W137" s="472"/>
      <c r="X137" s="472"/>
      <c r="Y137" s="472"/>
      <c r="Z137" s="472"/>
      <c r="AA137" s="472"/>
      <c r="AB137" s="472"/>
      <c r="AC137" s="472"/>
      <c r="AD137" s="472"/>
      <c r="AE137" s="472"/>
      <c r="AF137" s="472"/>
      <c r="AG137" s="472"/>
      <c r="AH137" s="472"/>
    </row>
    <row r="138" spans="1:34" ht="17" x14ac:dyDescent="0.2">
      <c r="A138" s="770"/>
      <c r="B138" s="61" t="s">
        <v>102</v>
      </c>
      <c r="C138" s="61" t="str">
        <f>""</f>
        <v/>
      </c>
      <c r="D138" s="61">
        <f>$D$130</f>
        <v>0</v>
      </c>
      <c r="E138" s="61"/>
      <c r="F138" s="61">
        <v>1</v>
      </c>
      <c r="G138" s="61">
        <f>TableQCalcMain[[#This Row],[ShowDesc?]]*TableQCalcMain[[#This Row],[Software]]</f>
        <v>0</v>
      </c>
      <c r="H138" s="61">
        <f>TableQCalcMain[[#This Row],[ShowDesc?]]*TableQCalcMain[[#This Row],[Hardware]]</f>
        <v>0</v>
      </c>
      <c r="I138" s="544" t="str">
        <f>"         • " &amp;
IF(Francais,
"Lentille fisheye avec angle de vue 180°" &amp; ", 2 Batteries, Chargeur, Carte Mém. 64 GB, Manette" &amp; IF(SCANOPY_IndexScanner=1," 5m",""),
"180° FOV Fish-Eye lens" &amp; ", 2 Batteries, Charger, 64 GB Mem. card, Remote control" &amp; IF(SCANOPY_IndexScanner=1," 5m",""))</f>
        <v xml:space="preserve">         • Lentille fisheye avec angle de vue 180°, 2 Batteries, Chargeur, Carte Mém. 64 GB, Manette 5m</v>
      </c>
      <c r="J138" s="61" t="str">
        <f>""</f>
        <v/>
      </c>
      <c r="K138" s="61">
        <f>IF(SCANOPY_IndexScanner=1,ROUND(PrixSLR24_Lentille*(SCANOPY_N_System-1)*(1-RebateHardware*Distributeurs_Rabais),0),"incl.")</f>
        <v>0</v>
      </c>
      <c r="L138" s="61">
        <f>0</f>
        <v>0</v>
      </c>
      <c r="M138" s="455" t="str">
        <f>IFERROR(
IF(TableQCalcMain[[#This Row],[Unit_Price]]*TableQCalcMain[[#This Row],[Real_Quantity]]&gt;0,
TableQCalcMain[[#This Row],[Unit_Price]]*TableQCalcMain[[#This Row],[Real_Quantity]],""),"")</f>
        <v/>
      </c>
      <c r="N138" s="471"/>
      <c r="O138" s="472"/>
      <c r="P138" s="472"/>
      <c r="Q138" s="472"/>
      <c r="R138" s="472"/>
      <c r="S138" s="472"/>
      <c r="T138" s="471"/>
      <c r="U138" s="472"/>
      <c r="V138" s="472"/>
      <c r="W138" s="472"/>
      <c r="X138" s="472"/>
      <c r="Y138" s="472"/>
      <c r="Z138" s="472"/>
      <c r="AA138" s="472"/>
      <c r="AB138" s="472"/>
      <c r="AC138" s="472"/>
      <c r="AD138" s="472"/>
      <c r="AE138" s="472"/>
      <c r="AF138" s="472"/>
      <c r="AG138" s="472"/>
      <c r="AH138" s="472"/>
    </row>
    <row r="139" spans="1:34" ht="17" x14ac:dyDescent="0.2">
      <c r="A139" s="770"/>
      <c r="B139" s="61" t="s">
        <v>103</v>
      </c>
      <c r="C139" s="782" t="str">
        <f>""</f>
        <v/>
      </c>
      <c r="D139" s="782">
        <f>$D$130</f>
        <v>0</v>
      </c>
      <c r="E139" s="61"/>
      <c r="F139" s="61">
        <v>1</v>
      </c>
      <c r="G139" s="61">
        <f>TableQCalcMain[[#This Row],[ShowDesc?]]*TableQCalcMain[[#This Row],[Software]]</f>
        <v>0</v>
      </c>
      <c r="H139" s="61">
        <f>TableQCalcMain[[#This Row],[ShowDesc?]]*TableQCalcMain[[#This Row],[Hardware]]</f>
        <v>0</v>
      </c>
      <c r="I139" s="782" t="str">
        <f>"         • " &amp;
IF(Francais,"Mini Trépied et Base à mise à niveau manuelle","Manual leveling Base and Mini Tripod")</f>
        <v xml:space="preserve">         • Mini Trépied et Base à mise à niveau manuelle</v>
      </c>
      <c r="J139" s="61" t="str">
        <f>""</f>
        <v/>
      </c>
      <c r="K139" s="61" t="str">
        <f>"incl."</f>
        <v>incl.</v>
      </c>
      <c r="L139" s="61">
        <f>IF(QUOTE_Split_SoftwareHardware,TableQCalcMain[[#This Row],[Detailed_Ext_Price]]/TableQCalcMain[[#This Row],[ShowDesc?]],0)</f>
        <v>0</v>
      </c>
      <c r="M139" s="455" t="str">
        <f>IFERROR(
IF(TableQCalcMain[[#This Row],[Unit_Price]]*TableQCalcMain[[#This Row],[Real_Quantity]]&gt;0,
TableQCalcMain[[#This Row],[Unit_Price]]*TableQCalcMain[[#This Row],[Real_Quantity]],""),"")</f>
        <v/>
      </c>
      <c r="N139" s="471"/>
      <c r="O139" s="472"/>
      <c r="P139" s="472"/>
      <c r="Q139" s="472"/>
      <c r="R139" s="472"/>
      <c r="S139" s="472"/>
      <c r="T139" s="471"/>
      <c r="U139" s="472"/>
      <c r="V139" s="472"/>
      <c r="W139" s="472"/>
      <c r="X139" s="472"/>
      <c r="Y139" s="472"/>
      <c r="Z139" s="472"/>
      <c r="AA139" s="472"/>
      <c r="AB139" s="472"/>
      <c r="AC139" s="472"/>
      <c r="AD139" s="472"/>
      <c r="AE139" s="472"/>
      <c r="AF139" s="472"/>
      <c r="AG139" s="472"/>
      <c r="AH139" s="472"/>
    </row>
    <row r="140" spans="1:34" x14ac:dyDescent="0.2">
      <c r="A140" s="770"/>
      <c r="B140" s="61" t="s">
        <v>104</v>
      </c>
      <c r="C140" s="782" t="str">
        <f>""</f>
        <v/>
      </c>
      <c r="D140" s="782">
        <f>$D$130</f>
        <v>0</v>
      </c>
      <c r="E140" s="61"/>
      <c r="F140" s="61">
        <v>1</v>
      </c>
      <c r="G140" s="61">
        <f>TableQCalcMain[[#This Row],[ShowDesc?]]*TableQCalcMain[[#This Row],[Software]]</f>
        <v>0</v>
      </c>
      <c r="H140" s="61">
        <f>TableQCalcMain[[#This Row],[ShowDesc?]]*TableQCalcMain[[#This Row],[Hardware]]</f>
        <v>0</v>
      </c>
      <c r="I140" s="544" t="str">
        <f>"         • " &amp;
IF(Francais,
"Valise de transport (Étanche à l'eau &amp; Résistante aux impacts)",
"Carrying Case (Waterproof &amp; Impact Resistant)"
)</f>
        <v xml:space="preserve">         • Valise de transport (Étanche à l'eau &amp; Résistante aux impacts)</v>
      </c>
      <c r="J140" s="61" t="str">
        <f>""</f>
        <v/>
      </c>
      <c r="K140" s="61" t="s">
        <v>162</v>
      </c>
      <c r="L140" s="61" t="str">
        <f>""</f>
        <v/>
      </c>
      <c r="M140" s="61" t="str">
        <f>""</f>
        <v/>
      </c>
      <c r="N140" s="471"/>
      <c r="O140" s="472"/>
      <c r="P140" s="472"/>
      <c r="Q140" s="472"/>
      <c r="R140" s="472"/>
      <c r="S140" s="472"/>
      <c r="T140" s="471"/>
      <c r="U140" s="472"/>
      <c r="V140" s="472"/>
      <c r="W140" s="472"/>
      <c r="X140" s="472"/>
      <c r="Y140" s="472"/>
      <c r="Z140" s="472"/>
      <c r="AA140" s="472"/>
      <c r="AB140" s="472"/>
      <c r="AC140" s="472"/>
      <c r="AD140" s="472"/>
      <c r="AE140" s="472"/>
      <c r="AF140" s="472"/>
      <c r="AG140" s="472"/>
      <c r="AH140" s="472"/>
    </row>
    <row r="141" spans="1:34" x14ac:dyDescent="0.2">
      <c r="A141" s="770"/>
      <c r="B141" s="571" t="s">
        <v>713</v>
      </c>
      <c r="C141" s="571" t="str">
        <f>IF(AND((QUOTE_Split_SoftwareHardware),N(C131)=0),C130,"")</f>
        <v/>
      </c>
      <c r="D141" s="571">
        <f>IF(AND((QUOTE_Split_SoftwareHardware),AND(NOT(SuperUser),N(D131)=0)),0,D130)</f>
        <v>0</v>
      </c>
      <c r="E141" s="538">
        <v>1</v>
      </c>
      <c r="F141" s="538">
        <v>0</v>
      </c>
      <c r="G141" s="538">
        <f>TableQCalcMain[[#This Row],[ShowDesc?]]*TableQCalcMain[[#This Row],[Software]]</f>
        <v>0</v>
      </c>
      <c r="H141" s="538">
        <f>TableQCalcMain[[#This Row],[ShowDesc?]]*TableQCalcMain[[#This Row],[Hardware]]</f>
        <v>0</v>
      </c>
      <c r="I141" s="571" t="str">
        <f>IF(AND((QUOTE_Split_SoftwareHardware),N(C131)=0),"","         • ") &amp; IF(Francais,
"Caméra + Calibration Lentille, "&amp;"Manuels &amp; Support technique pour l'acquisition d'image avec WinSCANOPY",
"Camera + Lens Calibration, "&amp;"Manuals &amp; Technical support for image acquisition for WinSCANOPY")</f>
        <v xml:space="preserve">         • Caméra + Calibration Lentille, Manuels &amp; Support technique pour l'acquisition d'image avec WinSCANOPY</v>
      </c>
      <c r="J141" s="538" t="str">
        <f>""</f>
        <v/>
      </c>
      <c r="K141" s="538">
        <f>ROUND((IF(SCANOPY_IndexScanner=1,
PrixSLR24_Calib,
PrixGP27_Calib))
*(SCANOPY_N_System-1)*(1-RebateCalibScanopy*Distributeurs_Rabais),0)</f>
        <v>0</v>
      </c>
      <c r="L141" s="538" t="str">
        <f>IF(QUOTE_Split_SoftwareHardware,TableQCalcMain[[#This Row],[Detailed_Ext_Price]]/TableQCalcMain[[#This Row],[ShowDesc?]],"")</f>
        <v/>
      </c>
      <c r="M141" s="538">
        <f>IF(QUOTE_Split_SoftwareHardware,TableQCalcMain[[#This Row],[Detailed_Ext_Price]],0)</f>
        <v>0</v>
      </c>
      <c r="N141" s="471"/>
      <c r="O141" s="472"/>
      <c r="P141" s="472"/>
      <c r="Q141" s="472"/>
      <c r="R141" s="472"/>
      <c r="S141" s="472"/>
      <c r="T141" s="471"/>
      <c r="U141" s="472"/>
      <c r="V141" s="472"/>
      <c r="W141" s="472"/>
      <c r="X141" s="472"/>
      <c r="Y141" s="472"/>
      <c r="Z141" s="472"/>
      <c r="AA141" s="472"/>
      <c r="AB141" s="472"/>
      <c r="AC141" s="472"/>
      <c r="AD141" s="472"/>
      <c r="AE141" s="472"/>
      <c r="AF141" s="472"/>
      <c r="AG141" s="472"/>
      <c r="AH141" s="472"/>
    </row>
    <row r="142" spans="1:34" x14ac:dyDescent="0.2">
      <c r="A142" s="770"/>
      <c r="B142" s="61"/>
      <c r="C142" s="61"/>
      <c r="D142" s="61"/>
      <c r="E142" s="61"/>
      <c r="F142" s="61"/>
      <c r="G142" s="61"/>
      <c r="H142" s="61"/>
      <c r="I142" s="61"/>
      <c r="J142" s="61"/>
      <c r="K142" s="61"/>
      <c r="L142" s="61"/>
      <c r="M142" s="61"/>
      <c r="N142" s="471"/>
      <c r="O142" s="472"/>
      <c r="P142" s="472"/>
      <c r="Q142" s="472"/>
      <c r="R142" s="472"/>
      <c r="S142" s="472"/>
      <c r="T142" s="471"/>
      <c r="U142" s="472"/>
      <c r="V142" s="472"/>
      <c r="W142" s="472"/>
      <c r="X142" s="472"/>
      <c r="Y142" s="472"/>
      <c r="Z142" s="472"/>
      <c r="AA142" s="472"/>
      <c r="AB142" s="472"/>
      <c r="AC142" s="472"/>
      <c r="AD142" s="472"/>
      <c r="AE142" s="472"/>
      <c r="AF142" s="472"/>
      <c r="AG142" s="472"/>
      <c r="AH142" s="472"/>
    </row>
    <row r="143" spans="1:34" x14ac:dyDescent="0.2">
      <c r="A143" s="770"/>
      <c r="B143" s="469" t="s">
        <v>89</v>
      </c>
      <c r="C143" s="61">
        <f>SCANOPY_N_UpgradeUpdate-1</f>
        <v>0</v>
      </c>
      <c r="D143" s="567">
        <f>IFERROR(IF(AND(D132=0,OR(WinSCANOPY!G5&gt;0,WinSCANOPY!G6&gt;0)),SCANOPY_N_UpgradeUpdate-1,0),0)</f>
        <v>0</v>
      </c>
      <c r="E143" s="61">
        <v>1</v>
      </c>
      <c r="F143" s="61"/>
      <c r="G143" s="61">
        <f>TableQCalcMain[[#This Row],[ShowDesc?]]*TableQCalcMain[[#This Row],[Software]]</f>
        <v>0</v>
      </c>
      <c r="H143" s="61">
        <f>TableQCalcMain[[#This Row],[ShowDesc?]]*TableQCalcMain[[#This Row],[Hardware]]</f>
        <v>0</v>
      </c>
      <c r="I143" s="466" t="str">
        <f>IF(Francais,"Mise à jour de ","Update from ") &amp;
INDEX(SCANOPY_SoftwareList,SCANOPY_IndexClientVersion) &amp; SCANOPY_YearClient &amp;
IF(Francais," à "," to ") &amp;
INDEX(SCANOPY_SoftwareList,SCANOPY_IndexSoftware) &amp; SCANOPY_YearMostRecent  &amp; " " &amp; "&amp;" &amp; " XLScanopy" &amp; IF(OR(SCANOPY_IndexSoftware=1,SCANOPY_IndexSoftware=4)," Mini","")
&amp;
IF(QUOTE_Split_SoftwareHardware,IF(QUOTE_InternetDownload,IF(Francais, ", Téléchargement Internet", ", Internet download"),IF(Francais, ", Envoyé par transporteur", ", Shipped by courier")),IF(Francais," sur media USB (manuels PDF &amp; imprimés)"," on USB drive (PDF &amp; printed manuals)"))</f>
        <v>Mise à jour de WinSCANOPY™ Reg 2019 à WinSCANOPY™ Reg 2025 &amp; XLScanopy sur media USB (manuels PDF &amp; imprimés)</v>
      </c>
      <c r="J143" s="61">
        <f>IF(SCANOPY_N_System&gt;1,
"",WinSCANOPY!I4)</f>
        <v>852349</v>
      </c>
      <c r="K143" s="61" t="str">
        <f>""</f>
        <v/>
      </c>
      <c r="L143" s="61" t="e">
        <f>ROUND(TableQCalcMain[[#This Row],[Extended_price]]/TableQCalcMain[[#This Row],[Real_Quantity]],2)</f>
        <v>#DIV/0!</v>
      </c>
      <c r="M143" s="764">
        <f>ROUND(IF(Distributeurs_Rabais,IFERROR(QCalc!G202,0),IFERROR(QCalc!F202,0))
-IF(AND(NOT(SCANOPY_ChkB_RemoteUpdate),QUOTE_Split_SoftwareHardware),PrixUSBKey*(SCANOPY_N_UpgradeUpdate-1),0),2)</f>
        <v>0</v>
      </c>
      <c r="N143" s="471"/>
      <c r="O143" s="472"/>
      <c r="P143" s="472"/>
      <c r="Q143" s="472"/>
      <c r="R143" s="472"/>
      <c r="S143" s="472"/>
      <c r="T143" s="471"/>
      <c r="U143" s="472"/>
      <c r="V143" s="472"/>
      <c r="W143" s="472"/>
      <c r="X143" s="472"/>
      <c r="Y143" s="472"/>
      <c r="Z143" s="472"/>
      <c r="AA143" s="472"/>
      <c r="AB143" s="472"/>
      <c r="AC143" s="472"/>
      <c r="AD143" s="472"/>
      <c r="AE143" s="472"/>
      <c r="AF143" s="472"/>
      <c r="AG143" s="472"/>
      <c r="AH143" s="472"/>
    </row>
    <row r="144" spans="1:34" x14ac:dyDescent="0.2">
      <c r="A144" s="770"/>
      <c r="B144" s="470" t="s">
        <v>336</v>
      </c>
      <c r="C144" s="61" t="str">
        <f>""</f>
        <v/>
      </c>
      <c r="D144" s="61">
        <f>IF(QUOTE_Split_SoftwareHardware,N($C$143),0)</f>
        <v>0</v>
      </c>
      <c r="E144" s="61">
        <v>1</v>
      </c>
      <c r="F144" s="61"/>
      <c r="G144" s="61">
        <f>TableQCalcMain[[#This Row],[ShowDesc?]]*TableQCalcMain[[#This Row],[Software]]</f>
        <v>0</v>
      </c>
      <c r="H144" s="61"/>
      <c r="I144" s="61" t="str">
        <f>"         • " &amp; IF(AND(QUOTE_Split_SoftwareHardware,QUOTE_InternetDownload),
IF(Francais,"Logiciels et documents d'instructions (fichiers PDF)","Software &amp; Instructions documents (PDF files)"),
IF(Francais,"Logiciel et documents d'instructions (" &amp; IF(QUOTE_InternetDownload,"sur clé USB","PDF") &amp; " et imprimés)","Software &amp; Instructions documents (" &amp; IF(QUOTE_InternetDownload,"on USB Key","PDF") &amp; " &amp; printed)"))
&amp;REPT(" ",15)</f>
        <v xml:space="preserve">         • Logiciel et documents d'instructions (PDF et imprimés)               </v>
      </c>
      <c r="J144" s="61" t="str">
        <f>""</f>
        <v/>
      </c>
      <c r="K144" s="61" t="str">
        <f>""</f>
        <v/>
      </c>
      <c r="L144" s="61" t="str">
        <f>""</f>
        <v/>
      </c>
      <c r="M144" s="61" t="str">
        <f>""</f>
        <v/>
      </c>
      <c r="N144" s="471"/>
      <c r="O144" s="472"/>
      <c r="P144" s="472"/>
      <c r="Q144" s="472"/>
      <c r="R144" s="472"/>
      <c r="S144" s="472"/>
      <c r="T144" s="471"/>
      <c r="U144" s="472"/>
      <c r="V144" s="472"/>
      <c r="W144" s="472"/>
      <c r="X144" s="472"/>
      <c r="Y144" s="472"/>
      <c r="Z144" s="472"/>
      <c r="AA144" s="472"/>
      <c r="AB144" s="472"/>
      <c r="AC144" s="472"/>
      <c r="AD144" s="472"/>
      <c r="AE144" s="472"/>
      <c r="AF144" s="472"/>
      <c r="AG144" s="472"/>
      <c r="AH144" s="472"/>
    </row>
    <row r="145" spans="1:34" x14ac:dyDescent="0.2">
      <c r="A145" s="770"/>
      <c r="B145" s="566" t="str">
        <f>B141&amp;"Upd"</f>
        <v>SCANOPY System Calib ManualUpd</v>
      </c>
      <c r="C145" s="541" t="str">
        <f>""</f>
        <v/>
      </c>
      <c r="D145" s="764">
        <f>IF(AND(D130&gt;0,D131=0),IF(NOT(AND(SCANOPY_ChkBox_UpgradeUpdate,SCANOPY_ChkB_RemoteUpdate,QUOTE_Split_SoftwareHardware)),D136,1),0)</f>
        <v>0</v>
      </c>
      <c r="E145" s="541">
        <v>1</v>
      </c>
      <c r="F145" s="541">
        <v>0</v>
      </c>
      <c r="G145" s="541">
        <f>TableQCalcMain[[#This Row],[ShowDesc?]]*TableQCalcMain[[#This Row],[Software]]</f>
        <v>0</v>
      </c>
      <c r="H145" s="541">
        <f>TableQCalcMain[[#This Row],[ShowDesc?]]*TableQCalcMain[[#This Row],[Hardware]]</f>
        <v>0</v>
      </c>
      <c r="I145" s="543" t="str">
        <f>"         • " &amp; IF(Francais,
"Calibration Lentille, Manuel "&amp; "&amp;" &amp; " Support Technique",
"Lens Calibration, Manual " &amp; "&amp;" &amp; " Technical support")
&amp; IF(LEFT(TableQCalcMain[[#This Row],[Variable / Product ID]],3)="DEN",REPT(" ",0),
IF(LEFT(TableQCalcMain[[#This Row],[Variable / Product ID]],3)="RHI",REPT(" ",1),
IF(LEFT(TableQCalcMain[[#This Row],[Variable / Product ID]],3)="FOL",REPT(" ",2),
IF(LEFT(TableQCalcMain[[#This Row],[Variable / Product ID]],3)="SEE",REPT(" ",3),
IF(LEFT(TableQCalcMain[[#This Row],[Variable / Product ID]],3)="CAM",REPT(" ",4),"")))))</f>
        <v xml:space="preserve">         • Calibration Lentille, Manuel &amp; Support Technique</v>
      </c>
      <c r="J145" s="541" t="str">
        <f>""</f>
        <v/>
      </c>
      <c r="K145" s="541">
        <f>K141</f>
        <v>0</v>
      </c>
      <c r="L145" s="541" t="str">
        <f>IF(QUOTE_Split_SoftwareHardware,TableQCalcMain[[#This Row],[Detailed_Ext_Price]]/TableQCalcMain[[#This Row],[ShowDesc?]],"")</f>
        <v/>
      </c>
      <c r="M145" s="541">
        <f>IF(QUOTE_Split_SoftwareHardware,TableQCalcMain[[#This Row],[Detailed_Ext_Price]],0)</f>
        <v>0</v>
      </c>
      <c r="N145" s="471"/>
      <c r="O145" s="472"/>
      <c r="P145" s="472"/>
      <c r="Q145" s="472"/>
      <c r="R145" s="472"/>
      <c r="S145" s="472"/>
      <c r="T145" s="471"/>
      <c r="U145" s="472"/>
      <c r="V145" s="472"/>
      <c r="W145" s="472"/>
      <c r="X145" s="472"/>
      <c r="Y145" s="472"/>
      <c r="Z145" s="472"/>
      <c r="AA145" s="472"/>
      <c r="AB145" s="472"/>
      <c r="AC145" s="472"/>
      <c r="AD145" s="472"/>
      <c r="AE145" s="472"/>
      <c r="AF145" s="472"/>
      <c r="AG145" s="472"/>
      <c r="AH145" s="472"/>
    </row>
    <row r="146" spans="1:34" x14ac:dyDescent="0.2">
      <c r="B146" s="536" t="s">
        <v>108</v>
      </c>
      <c r="C146" s="536" t="str">
        <f>""</f>
        <v/>
      </c>
      <c r="D146" s="536">
        <f>SUM(D130:D144)</f>
        <v>0</v>
      </c>
      <c r="E146" s="536">
        <v>1</v>
      </c>
      <c r="F146" s="536">
        <v>0</v>
      </c>
      <c r="G146" s="536">
        <f>SUM(G130:G144)</f>
        <v>0</v>
      </c>
      <c r="H146" s="536">
        <v>0</v>
      </c>
      <c r="I146" s="536" t="str">
        <f>REPT(" ",7)</f>
        <v xml:space="preserve">       </v>
      </c>
      <c r="J146" s="536" t="str">
        <f>""</f>
        <v/>
      </c>
      <c r="K146" s="536" t="str">
        <f>""</f>
        <v/>
      </c>
      <c r="L146" s="536" t="str">
        <f>""</f>
        <v/>
      </c>
      <c r="M146" s="536" t="str">
        <f>""</f>
        <v/>
      </c>
      <c r="N146" s="471"/>
      <c r="O146" s="472"/>
      <c r="P146" s="472"/>
      <c r="Q146" s="472"/>
      <c r="R146" s="472"/>
      <c r="S146" s="472"/>
      <c r="T146" s="471"/>
      <c r="U146" s="472"/>
      <c r="V146" s="472"/>
      <c r="W146" s="472"/>
      <c r="X146" s="472"/>
      <c r="Y146" s="472"/>
      <c r="Z146" s="472"/>
      <c r="AA146" s="472"/>
      <c r="AB146" s="472"/>
      <c r="AC146" s="472"/>
      <c r="AD146" s="472"/>
      <c r="AE146" s="472"/>
      <c r="AF146" s="472"/>
      <c r="AG146" s="472"/>
      <c r="AH146" s="472"/>
    </row>
    <row r="147" spans="1:34" x14ac:dyDescent="0.2">
      <c r="B147" s="61"/>
      <c r="C147" s="61"/>
      <c r="D147" s="61"/>
      <c r="E147" s="61"/>
      <c r="F147" s="61"/>
      <c r="G147" s="61"/>
      <c r="H147" s="61"/>
      <c r="I147" s="61"/>
      <c r="J147" s="61"/>
      <c r="K147" s="61"/>
      <c r="L147" s="61"/>
      <c r="M147" s="61"/>
      <c r="N147" s="471"/>
      <c r="O147" s="472"/>
      <c r="P147" s="472"/>
      <c r="Q147" s="472"/>
      <c r="R147" s="472"/>
      <c r="S147" s="472"/>
      <c r="T147" s="471"/>
      <c r="U147" s="472"/>
      <c r="V147" s="472"/>
      <c r="W147" s="472"/>
      <c r="X147" s="472"/>
      <c r="Y147" s="472"/>
      <c r="Z147" s="472"/>
      <c r="AA147" s="472"/>
      <c r="AB147" s="472"/>
      <c r="AC147" s="472"/>
      <c r="AD147" s="472"/>
      <c r="AE147" s="472"/>
      <c r="AF147" s="472"/>
      <c r="AG147" s="472"/>
      <c r="AH147" s="472"/>
    </row>
    <row r="148" spans="1:34" x14ac:dyDescent="0.2">
      <c r="B148" s="61" t="s">
        <v>113</v>
      </c>
      <c r="C148" s="61">
        <v>1</v>
      </c>
      <c r="D148" s="61">
        <f>NOT(ISNA(TableQCalcMain[[#This Row],[Description]]))*1</f>
        <v>0</v>
      </c>
      <c r="E148" s="61">
        <v>1</v>
      </c>
      <c r="F148" s="61"/>
      <c r="G148" s="61">
        <f>TableQCalcMain[[#This Row],[ShowDesc?]]*TableQCalcMain[[#This Row],[Software]]</f>
        <v>0</v>
      </c>
      <c r="H148" s="61">
        <f>TableQCalcMain[[#This Row],[ShowDesc?]]*TableQCalcMain[[#This Row],[Hardware]]</f>
        <v>0</v>
      </c>
      <c r="I148" s="61" t="e">
        <f t="shared" ref="I148:I154" si="5">I185</f>
        <v>#N/A</v>
      </c>
      <c r="J148" s="61" t="str">
        <f>""</f>
        <v/>
      </c>
      <c r="K148" s="61" t="str">
        <f>""</f>
        <v/>
      </c>
      <c r="L148" s="61" t="str">
        <f>""</f>
        <v/>
      </c>
      <c r="M148" s="61" t="e">
        <f>-ROUND(
INDEX(TableLists[Column12],K185)*
IF(Distributeurs_Rabais,INDEX(TableQCalcRabais[Dist price],MATCH(K185,TableQCalcRabais[Rank],0)),INDEX(TableQCalcRabais[XL+Win Price+Update/upgrade],MATCH(K185,TableQCalcRabais[Rank],0))),
0)</f>
        <v>#N/A</v>
      </c>
      <c r="N148" s="471"/>
      <c r="O148" s="472"/>
      <c r="P148" s="472"/>
      <c r="Q148" s="472"/>
      <c r="R148" s="472"/>
      <c r="S148" s="472"/>
      <c r="T148" s="471"/>
      <c r="U148" s="472"/>
      <c r="V148" s="472"/>
      <c r="W148" s="472"/>
      <c r="X148" s="472"/>
      <c r="Y148" s="472"/>
      <c r="Z148" s="472"/>
      <c r="AA148" s="472"/>
      <c r="AB148" s="472"/>
      <c r="AC148" s="472"/>
      <c r="AD148" s="472"/>
      <c r="AE148" s="472"/>
      <c r="AF148" s="472"/>
      <c r="AG148" s="472"/>
      <c r="AH148" s="472"/>
    </row>
    <row r="149" spans="1:34" x14ac:dyDescent="0.2">
      <c r="B149" s="61" t="s">
        <v>114</v>
      </c>
      <c r="C149" s="61">
        <v>1</v>
      </c>
      <c r="D149" s="61">
        <f>NOT(ISNA(TableQCalcMain[[#This Row],[Description]]))*1</f>
        <v>0</v>
      </c>
      <c r="E149" s="61">
        <v>1</v>
      </c>
      <c r="F149" s="61"/>
      <c r="G149" s="61">
        <f>TableQCalcMain[[#This Row],[ShowDesc?]]*TableQCalcMain[[#This Row],[Software]]</f>
        <v>0</v>
      </c>
      <c r="H149" s="61">
        <f>TableQCalcMain[[#This Row],[ShowDesc?]]*TableQCalcMain[[#This Row],[Hardware]]</f>
        <v>0</v>
      </c>
      <c r="I149" s="61" t="e">
        <f t="shared" si="5"/>
        <v>#N/A</v>
      </c>
      <c r="J149" s="61" t="str">
        <f>""</f>
        <v/>
      </c>
      <c r="K149" s="61" t="str">
        <f>""</f>
        <v/>
      </c>
      <c r="L149" s="61" t="str">
        <f>""</f>
        <v/>
      </c>
      <c r="M149" s="61" t="e">
        <f>-ROUND(
INDEX(TableLists[Column12],K186)*
IF(Distributeurs_Rabais,INDEX(TableQCalcRabais[Dist price],MATCH(K186,TableQCalcRabais[Rank],0)),INDEX(TableQCalcRabais[XL+Win Price+Update/upgrade],MATCH(K186,TableQCalcRabais[Rank],0))),
0)</f>
        <v>#N/A</v>
      </c>
      <c r="N149" s="471"/>
      <c r="O149" s="472"/>
      <c r="P149" s="472"/>
      <c r="Q149" s="472"/>
      <c r="R149" s="472"/>
      <c r="S149" s="472"/>
      <c r="T149" s="471"/>
      <c r="U149" s="472"/>
      <c r="V149" s="472"/>
      <c r="W149" s="472"/>
      <c r="X149" s="472"/>
      <c r="Y149" s="472"/>
      <c r="Z149" s="472"/>
      <c r="AA149" s="472"/>
      <c r="AB149" s="472"/>
      <c r="AC149" s="472"/>
      <c r="AD149" s="472"/>
      <c r="AE149" s="472"/>
      <c r="AF149" s="472"/>
      <c r="AG149" s="472"/>
      <c r="AH149" s="472"/>
    </row>
    <row r="150" spans="1:34" x14ac:dyDescent="0.2">
      <c r="B150" s="61" t="s">
        <v>115</v>
      </c>
      <c r="C150" s="61">
        <v>1</v>
      </c>
      <c r="D150" s="61">
        <f>NOT(ISNA(TableQCalcMain[[#This Row],[Description]]))*1</f>
        <v>0</v>
      </c>
      <c r="E150" s="61">
        <v>1</v>
      </c>
      <c r="F150" s="61"/>
      <c r="G150" s="61">
        <f>TableQCalcMain[[#This Row],[ShowDesc?]]*TableQCalcMain[[#This Row],[Software]]</f>
        <v>0</v>
      </c>
      <c r="H150" s="61">
        <f>TableQCalcMain[[#This Row],[ShowDesc?]]*TableQCalcMain[[#This Row],[Hardware]]</f>
        <v>0</v>
      </c>
      <c r="I150" s="61" t="e">
        <f t="shared" si="5"/>
        <v>#N/A</v>
      </c>
      <c r="J150" s="61" t="str">
        <f>""</f>
        <v/>
      </c>
      <c r="K150" s="61" t="str">
        <f>""</f>
        <v/>
      </c>
      <c r="L150" s="61" t="str">
        <f>""</f>
        <v/>
      </c>
      <c r="M150" s="61" t="e">
        <f>-ROUND(
INDEX(TableLists[Column12],K187)*
IF(Distributeurs_Rabais,INDEX(TableQCalcRabais[Dist price],MATCH(K187,TableQCalcRabais[Rank],0)),INDEX(TableQCalcRabais[XL+Win Price+Update/upgrade],MATCH(K187,TableQCalcRabais[Rank],0))),
0)</f>
        <v>#N/A</v>
      </c>
      <c r="N150" s="471"/>
      <c r="O150" s="471"/>
      <c r="P150" s="471"/>
      <c r="Q150" s="471"/>
      <c r="R150" s="471"/>
      <c r="S150" s="471"/>
      <c r="T150" s="471"/>
      <c r="U150" s="472"/>
      <c r="V150" s="472"/>
      <c r="W150" s="472"/>
      <c r="X150" s="472"/>
      <c r="Y150" s="472"/>
      <c r="Z150" s="472"/>
      <c r="AA150" s="472"/>
      <c r="AB150" s="472"/>
      <c r="AC150" s="472"/>
      <c r="AD150" s="472"/>
      <c r="AE150" s="472"/>
      <c r="AF150" s="472"/>
      <c r="AG150" s="472"/>
      <c r="AH150" s="472"/>
    </row>
    <row r="151" spans="1:34" x14ac:dyDescent="0.2">
      <c r="B151" s="61" t="s">
        <v>116</v>
      </c>
      <c r="C151" s="61">
        <v>1</v>
      </c>
      <c r="D151" s="61">
        <f>NOT(ISNA(TableQCalcMain[[#This Row],[Description]]))*1</f>
        <v>0</v>
      </c>
      <c r="E151" s="61">
        <v>1</v>
      </c>
      <c r="F151" s="61"/>
      <c r="G151" s="61">
        <f>TableQCalcMain[[#This Row],[ShowDesc?]]*TableQCalcMain[[#This Row],[Software]]</f>
        <v>0</v>
      </c>
      <c r="H151" s="61">
        <f>TableQCalcMain[[#This Row],[ShowDesc?]]*TableQCalcMain[[#This Row],[Hardware]]</f>
        <v>0</v>
      </c>
      <c r="I151" s="61" t="e">
        <f t="shared" si="5"/>
        <v>#N/A</v>
      </c>
      <c r="J151" s="61" t="str">
        <f>""</f>
        <v/>
      </c>
      <c r="K151" s="61" t="str">
        <f>""</f>
        <v/>
      </c>
      <c r="L151" s="61" t="str">
        <f>""</f>
        <v/>
      </c>
      <c r="M151" s="61" t="e">
        <f>-ROUND(
INDEX(TableLists[Column12],K188)*
IF(Distributeurs_Rabais,INDEX(TableQCalcRabais[Dist price],MATCH(K188,TableQCalcRabais[Rank],0)),INDEX(TableQCalcRabais[XL+Win Price+Update/upgrade],MATCH(K188,TableQCalcRabais[Rank],0))),
0)</f>
        <v>#N/A</v>
      </c>
      <c r="N151" s="471"/>
      <c r="O151" s="471"/>
      <c r="P151" s="471"/>
      <c r="Q151" s="471"/>
      <c r="R151" s="471"/>
      <c r="S151" s="471"/>
      <c r="T151" s="471"/>
      <c r="U151" s="472"/>
      <c r="V151" s="472"/>
      <c r="W151" s="472"/>
      <c r="X151" s="472"/>
      <c r="Y151" s="472"/>
      <c r="Z151" s="472"/>
      <c r="AA151" s="472"/>
      <c r="AB151" s="472"/>
      <c r="AC151" s="472"/>
      <c r="AD151" s="472"/>
      <c r="AE151" s="472"/>
      <c r="AF151" s="472"/>
      <c r="AG151" s="472"/>
      <c r="AH151" s="472"/>
    </row>
    <row r="152" spans="1:34" x14ac:dyDescent="0.2">
      <c r="B152" s="61" t="s">
        <v>117</v>
      </c>
      <c r="C152" s="61">
        <v>1</v>
      </c>
      <c r="D152" s="61">
        <f>NOT(ISNA(TableQCalcMain[[#This Row],[Description]]))*1</f>
        <v>0</v>
      </c>
      <c r="E152" s="61">
        <v>1</v>
      </c>
      <c r="F152" s="61"/>
      <c r="G152" s="61">
        <f>TableQCalcMain[[#This Row],[ShowDesc?]]*TableQCalcMain[[#This Row],[Software]]</f>
        <v>0</v>
      </c>
      <c r="H152" s="61">
        <f>TableQCalcMain[[#This Row],[ShowDesc?]]*TableQCalcMain[[#This Row],[Hardware]]</f>
        <v>0</v>
      </c>
      <c r="I152" s="61" t="e">
        <f t="shared" si="5"/>
        <v>#N/A</v>
      </c>
      <c r="J152" s="61" t="str">
        <f>""</f>
        <v/>
      </c>
      <c r="K152" s="61" t="str">
        <f>""</f>
        <v/>
      </c>
      <c r="L152" s="61" t="str">
        <f>""</f>
        <v/>
      </c>
      <c r="M152" s="61" t="e">
        <f>-ROUND(
INDEX(TableLists[Column12],K189)*
IF(Distributeurs_Rabais,INDEX(TableQCalcRabais[Dist price],MATCH(K189,TableQCalcRabais[Rank],0)),INDEX(TableQCalcRabais[XL+Win Price+Update/upgrade],MATCH(K189,TableQCalcRabais[Rank],0))),
0)</f>
        <v>#N/A</v>
      </c>
      <c r="N152" s="471"/>
      <c r="O152" s="471"/>
      <c r="P152" s="471"/>
      <c r="Q152" s="471"/>
      <c r="R152" s="471"/>
      <c r="S152" s="471"/>
      <c r="T152" s="471"/>
      <c r="U152" s="472"/>
      <c r="V152" s="472"/>
      <c r="W152" s="472"/>
      <c r="X152" s="472"/>
      <c r="Y152" s="472"/>
      <c r="Z152" s="472"/>
      <c r="AA152" s="472"/>
      <c r="AB152" s="472"/>
      <c r="AC152" s="472"/>
      <c r="AD152" s="472"/>
      <c r="AE152" s="472"/>
      <c r="AF152" s="472"/>
      <c r="AG152" s="472"/>
      <c r="AH152" s="472"/>
    </row>
    <row r="153" spans="1:34" x14ac:dyDescent="0.2">
      <c r="B153" s="61" t="s">
        <v>118</v>
      </c>
      <c r="C153" s="61">
        <v>1</v>
      </c>
      <c r="D153" s="61">
        <f>NOT(ISNA(TableQCalcMain[[#This Row],[Description]]))*1</f>
        <v>0</v>
      </c>
      <c r="E153" s="61">
        <v>1</v>
      </c>
      <c r="F153" s="61"/>
      <c r="G153" s="61">
        <f>TableQCalcMain[[#This Row],[ShowDesc?]]*TableQCalcMain[[#This Row],[Software]]</f>
        <v>0</v>
      </c>
      <c r="H153" s="61">
        <f>TableQCalcMain[[#This Row],[ShowDesc?]]*TableQCalcMain[[#This Row],[Hardware]]</f>
        <v>0</v>
      </c>
      <c r="I153" s="61" t="e">
        <f t="shared" si="5"/>
        <v>#N/A</v>
      </c>
      <c r="J153" s="61" t="str">
        <f>""</f>
        <v/>
      </c>
      <c r="K153" s="61" t="str">
        <f>""</f>
        <v/>
      </c>
      <c r="L153" s="61" t="str">
        <f>""</f>
        <v/>
      </c>
      <c r="M153" s="61" t="e">
        <f>-ROUND(
INDEX(TableLists[Column12],K190)*
IF(Distributeurs_Rabais,INDEX(TableQCalcRabais[Dist price],MATCH(K190,TableQCalcRabais[Rank],0)),INDEX(TableQCalcRabais[XL+Win Price+Update/upgrade],MATCH(K190,TableQCalcRabais[Rank],0))),
0)</f>
        <v>#N/A</v>
      </c>
      <c r="N153" s="471"/>
      <c r="O153" s="471"/>
      <c r="P153" s="471"/>
      <c r="Q153" s="471"/>
      <c r="R153" s="471"/>
      <c r="S153" s="471"/>
      <c r="T153" s="471"/>
      <c r="U153" s="472"/>
      <c r="V153" s="472"/>
      <c r="W153" s="472"/>
      <c r="X153" s="472"/>
      <c r="Y153" s="472"/>
      <c r="Z153" s="472"/>
      <c r="AA153" s="472"/>
      <c r="AB153" s="472"/>
      <c r="AC153" s="472"/>
      <c r="AD153" s="472"/>
      <c r="AE153" s="472"/>
      <c r="AF153" s="472"/>
      <c r="AG153" s="472"/>
      <c r="AH153" s="472"/>
    </row>
    <row r="154" spans="1:34" x14ac:dyDescent="0.2">
      <c r="B154" s="61" t="s">
        <v>119</v>
      </c>
      <c r="C154" s="61">
        <v>1</v>
      </c>
      <c r="D154" s="61">
        <f>NOT(ISNA(TableQCalcMain[[#This Row],[Description]]))*1</f>
        <v>0</v>
      </c>
      <c r="E154" s="61">
        <v>1</v>
      </c>
      <c r="F154" s="61"/>
      <c r="G154" s="61">
        <f>TableQCalcMain[[#This Row],[ShowDesc?]]*TableQCalcMain[[#This Row],[Software]]</f>
        <v>0</v>
      </c>
      <c r="H154" s="61">
        <f>TableQCalcMain[[#This Row],[ShowDesc?]]*TableQCalcMain[[#This Row],[Hardware]]</f>
        <v>0</v>
      </c>
      <c r="I154" s="61" t="e">
        <f t="shared" si="5"/>
        <v>#N/A</v>
      </c>
      <c r="J154" s="61" t="str">
        <f>""</f>
        <v/>
      </c>
      <c r="K154" s="61" t="str">
        <f>""</f>
        <v/>
      </c>
      <c r="L154" s="61" t="str">
        <f>""</f>
        <v/>
      </c>
      <c r="M154" s="61" t="e">
        <f>-ROUND(
INDEX(TableLists[Column12],K191)*
IF(Distributeurs_Rabais,INDEX(TableQCalcRabais[Dist price],MATCH(K191,TableQCalcRabais[Rank],0)),INDEX(TableQCalcRabais[XL+Win Price+Update/upgrade],MATCH(K191,TableQCalcRabais[Rank],0))),
0)</f>
        <v>#N/A</v>
      </c>
      <c r="N154" s="471"/>
      <c r="O154" s="471"/>
      <c r="P154" s="471"/>
      <c r="Q154" s="471"/>
      <c r="R154" s="471"/>
      <c r="S154" s="471"/>
      <c r="T154" s="471"/>
      <c r="U154" s="472"/>
      <c r="V154" s="472"/>
      <c r="W154" s="472"/>
      <c r="X154" s="472"/>
      <c r="Y154" s="472"/>
      <c r="Z154" s="472"/>
      <c r="AA154" s="472"/>
      <c r="AB154" s="472"/>
      <c r="AC154" s="472"/>
      <c r="AD154" s="472"/>
      <c r="AE154" s="472"/>
      <c r="AF154" s="472"/>
      <c r="AG154" s="472"/>
      <c r="AH154" s="472"/>
    </row>
    <row r="155" spans="1:34" x14ac:dyDescent="0.2">
      <c r="B155" s="536" t="s">
        <v>108</v>
      </c>
      <c r="C155" s="536" t="str">
        <f>""</f>
        <v/>
      </c>
      <c r="D155" s="536">
        <f>SUM(D148:D154)*D159</f>
        <v>0</v>
      </c>
      <c r="E155" s="536">
        <v>1</v>
      </c>
      <c r="F155" s="536">
        <v>0</v>
      </c>
      <c r="G155" s="536">
        <f>SUM(G145:G154)</f>
        <v>0</v>
      </c>
      <c r="H155" s="536">
        <v>0</v>
      </c>
      <c r="I155" s="536" t="str">
        <f>REPT(" ",9)</f>
        <v xml:space="preserve">         </v>
      </c>
      <c r="J155" s="536" t="str">
        <f>""</f>
        <v/>
      </c>
      <c r="K155" s="536" t="str">
        <f>""</f>
        <v/>
      </c>
      <c r="L155" s="536" t="str">
        <f>""</f>
        <v/>
      </c>
      <c r="M155" s="536" t="str">
        <f>""</f>
        <v/>
      </c>
      <c r="N155" s="471"/>
      <c r="O155" s="471"/>
      <c r="P155" s="471"/>
      <c r="Q155" s="471"/>
      <c r="R155" s="471"/>
      <c r="S155" s="471"/>
      <c r="T155" s="471"/>
      <c r="U155" s="472"/>
      <c r="V155" s="472"/>
      <c r="W155" s="472"/>
      <c r="X155" s="472"/>
      <c r="Y155" s="472"/>
      <c r="Z155" s="472"/>
      <c r="AA155" s="472"/>
      <c r="AB155" s="472"/>
      <c r="AC155" s="472"/>
      <c r="AD155" s="472"/>
      <c r="AE155" s="472"/>
      <c r="AF155" s="472"/>
      <c r="AG155" s="472"/>
      <c r="AH155" s="472"/>
    </row>
    <row r="156" spans="1:34" x14ac:dyDescent="0.2">
      <c r="B156" s="61"/>
      <c r="C156" s="61"/>
      <c r="D156" s="61"/>
      <c r="E156" s="61"/>
      <c r="F156" s="61"/>
      <c r="G156" s="61"/>
      <c r="H156" s="61"/>
      <c r="I156" s="61"/>
      <c r="J156" s="61"/>
      <c r="K156" s="61"/>
      <c r="L156" s="61"/>
      <c r="M156" s="61"/>
      <c r="N156" s="471"/>
      <c r="O156" s="471"/>
      <c r="P156" s="471"/>
      <c r="Q156" s="471"/>
      <c r="R156" s="471"/>
      <c r="S156" s="471"/>
      <c r="T156" s="471"/>
      <c r="U156" s="472"/>
      <c r="V156" s="472"/>
      <c r="W156" s="472"/>
      <c r="X156" s="472"/>
      <c r="Y156" s="472"/>
      <c r="Z156" s="472"/>
      <c r="AA156" s="472"/>
      <c r="AB156" s="472"/>
      <c r="AC156" s="472"/>
      <c r="AD156" s="472"/>
      <c r="AE156" s="472"/>
      <c r="AF156" s="472"/>
      <c r="AG156" s="472"/>
      <c r="AH156" s="472"/>
    </row>
    <row r="157" spans="1:34" x14ac:dyDescent="0.2">
      <c r="B157" s="536" t="s">
        <v>108</v>
      </c>
      <c r="C157" s="536" t="str">
        <f>""</f>
        <v/>
      </c>
      <c r="D157" s="536">
        <f>SUM(D156)*D156</f>
        <v>0</v>
      </c>
      <c r="E157" s="536">
        <v>1</v>
      </c>
      <c r="F157" s="536">
        <v>0</v>
      </c>
      <c r="G157" s="536">
        <f>SUM(G147:G156)</f>
        <v>0</v>
      </c>
      <c r="H157" s="536">
        <v>0</v>
      </c>
      <c r="I157" s="536" t="str">
        <f>REPT(" ",10)</f>
        <v xml:space="preserve">          </v>
      </c>
      <c r="J157" s="536" t="str">
        <f>""</f>
        <v/>
      </c>
      <c r="K157" s="536" t="str">
        <f>""</f>
        <v/>
      </c>
      <c r="L157" s="536" t="str">
        <f>""</f>
        <v/>
      </c>
      <c r="M157" s="536" t="str">
        <f>""</f>
        <v/>
      </c>
      <c r="N157" s="471"/>
      <c r="O157" s="471"/>
      <c r="P157" s="471"/>
      <c r="Q157" s="471"/>
      <c r="R157" s="471"/>
      <c r="S157" s="471"/>
      <c r="T157" s="471"/>
      <c r="U157" s="472"/>
      <c r="V157" s="472"/>
      <c r="W157" s="472"/>
      <c r="X157" s="472"/>
      <c r="Y157" s="472"/>
      <c r="Z157" s="472"/>
      <c r="AA157" s="472"/>
      <c r="AB157" s="472"/>
      <c r="AC157" s="472"/>
      <c r="AD157" s="472"/>
      <c r="AE157" s="472"/>
      <c r="AF157" s="472"/>
      <c r="AG157" s="472"/>
      <c r="AH157" s="472"/>
    </row>
    <row r="158" spans="1:34" x14ac:dyDescent="0.2">
      <c r="B158" s="61" t="s">
        <v>780</v>
      </c>
      <c r="C158" s="61" t="str">
        <f>""</f>
        <v/>
      </c>
      <c r="D158" s="61">
        <f>IF(OR(
 AND(RHIZO_IndexScanner=2,RHIZO_ClientWithOrWithoutScanner_ChkBox,RHIZO_N_System&gt;1),
 AND(SEEDLE_IndexScanner=2,SEEDLE_ClientWithOrWithoutScanner_ChkBox,SEEDLE_N_System&gt;1),
 AND(FOLIA_IndexScanner=2,FOLIA_ClientWithOrWithoutScanner_ChkBox,FOLIA_N_System&gt;1),
 AND(CAM_IndexScanner=2,CAM_ClientWithOrWithoutScanner_ChkBox,CAM_N_System&gt;1),
 AND(DENDRO_IndexScanner=2,DENDRO_ClientWithOrWithoutScanner_ChkBox,DENDRO_N_System&gt;1)
 ),1*0,0)</f>
        <v>0</v>
      </c>
      <c r="E158" s="61"/>
      <c r="F158" s="61">
        <v>1</v>
      </c>
      <c r="G158" s="61">
        <f>TableQCalcMain[[#This Row],[ShowDesc?]]*TableQCalcMain[[#This Row],[Software]]</f>
        <v>0</v>
      </c>
      <c r="H158" s="61">
        <f>TableQCalcMain[[#This Row],[ShowDesc?]]*TableQCalcMain[[#This Row],[Hardware]]</f>
        <v>0</v>
      </c>
      <c r="I158" s="61" t="str">
        <f>IF(Francais,"Restrictions d'exportation applicables: le Scanner LA peut ne pas être expédiable dans votre pays","Export Restrictions Apply: The LA Scanner cannot be sold worldwide, it might not ship to your country")</f>
        <v>Restrictions d'exportation applicables: le Scanner LA peut ne pas être expédiable dans votre pays</v>
      </c>
      <c r="J158" s="61" t="str">
        <f>""</f>
        <v/>
      </c>
      <c r="K158" s="61" t="str">
        <f>""</f>
        <v/>
      </c>
      <c r="L158" s="61" t="str">
        <f>""</f>
        <v/>
      </c>
      <c r="M158" s="61" t="str">
        <f>""</f>
        <v/>
      </c>
      <c r="N158" s="471"/>
      <c r="O158" s="471"/>
      <c r="P158" s="471"/>
      <c r="Q158" s="471"/>
      <c r="R158" s="471"/>
      <c r="S158" s="471"/>
      <c r="T158" s="471"/>
      <c r="U158" s="472"/>
      <c r="V158" s="472"/>
      <c r="W158" s="472"/>
      <c r="X158" s="472"/>
      <c r="Y158" s="472"/>
      <c r="Z158" s="472"/>
      <c r="AA158" s="472"/>
      <c r="AB158" s="472"/>
      <c r="AC158" s="472"/>
      <c r="AD158" s="472"/>
      <c r="AE158" s="472"/>
      <c r="AF158" s="472"/>
      <c r="AG158" s="472"/>
      <c r="AH158" s="472"/>
    </row>
    <row r="159" spans="1:34" x14ac:dyDescent="0.2">
      <c r="B159" s="61" t="s">
        <v>406</v>
      </c>
      <c r="C159" s="61" t="str">
        <f>""</f>
        <v/>
      </c>
      <c r="D159" s="61">
        <f>IF(AND(QUOTE_Split_SoftwareHardware,QUOTE_InternetDownload),1,0)</f>
        <v>0</v>
      </c>
      <c r="E159" s="61">
        <v>1</v>
      </c>
      <c r="F159" s="61"/>
      <c r="G159" s="61">
        <f>TableQCalcMain[[#This Row],[ShowDesc?]]*TableQCalcMain[[#This Row],[Software]]</f>
        <v>0</v>
      </c>
      <c r="H159" s="61">
        <f>TableQCalcMain[[#This Row],[ShowDesc?]]*TableQCalcMain[[#This Row],[Hardware]]</f>
        <v>0</v>
      </c>
      <c r="I159" s="61" t="str">
        <f>IF(Francais,
"Téléchargement Internet: Rien d'expédié par transport, acheteur responsable de payer ses taxes, droits de douane et autres frais",
"Internet Download: Nothing shipped by courier, buyer is responsible to pay local taxes, customs and fees if these apply.")</f>
        <v>Téléchargement Internet: Rien d'expédié par transport, acheteur responsable de payer ses taxes, droits de douane et autres frais</v>
      </c>
      <c r="J159" s="61" t="str">
        <f>""</f>
        <v/>
      </c>
      <c r="K159" s="61" t="str">
        <f>""</f>
        <v/>
      </c>
      <c r="L159" s="61" t="str">
        <f>""</f>
        <v/>
      </c>
      <c r="M159" s="61" t="str">
        <f>""</f>
        <v/>
      </c>
      <c r="N159" s="471"/>
      <c r="O159" s="471"/>
      <c r="P159" s="471"/>
      <c r="Q159" s="471"/>
      <c r="R159" s="471"/>
      <c r="S159" s="471"/>
      <c r="T159" s="471"/>
      <c r="U159" s="472"/>
      <c r="V159" s="472"/>
      <c r="W159" s="472"/>
      <c r="X159" s="472"/>
      <c r="Y159" s="472"/>
      <c r="Z159" s="472"/>
      <c r="AA159" s="472"/>
      <c r="AB159" s="472"/>
      <c r="AC159" s="472"/>
      <c r="AD159" s="472"/>
      <c r="AE159" s="472"/>
      <c r="AF159" s="472"/>
      <c r="AG159" s="472"/>
      <c r="AH159" s="472"/>
    </row>
    <row r="160" spans="1:34" x14ac:dyDescent="0.2">
      <c r="B160" s="61" t="s">
        <v>407</v>
      </c>
      <c r="C160" s="61" t="str">
        <f>""</f>
        <v/>
      </c>
      <c r="D160" s="61">
        <f>IF(AND(QUOTE_Split_SoftwareHardware,QUOTE_InternetDownload),1,0)</f>
        <v>0</v>
      </c>
      <c r="E160" s="61">
        <v>1</v>
      </c>
      <c r="F160" s="61"/>
      <c r="G160" s="61">
        <f>TableQCalcMain[[#This Row],[ShowDesc?]]*TableQCalcMain[[#This Row],[Software]]</f>
        <v>0</v>
      </c>
      <c r="H160" s="61">
        <f>TableQCalcMain[[#This Row],[ShowDesc?]]*TableQCalcMain[[#This Row],[Hardware]]</f>
        <v>0</v>
      </c>
      <c r="I160" s="61" t="str">
        <f>IF(Francais,
"locaux potentiels si applicable. Instruments Regent ne sait pas si ces frais doivent être payés ou non, ou à combien ils s'élèvent.",
"Regent Instruments isn't aware if such fees should be paid or not, and if so, how much they are.")</f>
        <v>locaux potentiels si applicable. Instruments Regent ne sait pas si ces frais doivent être payés ou non, ou à combien ils s'élèvent.</v>
      </c>
      <c r="J160" s="61" t="str">
        <f>""</f>
        <v/>
      </c>
      <c r="K160" s="61" t="str">
        <f>""</f>
        <v/>
      </c>
      <c r="L160" s="61" t="str">
        <f>""</f>
        <v/>
      </c>
      <c r="M160" s="61" t="str">
        <f>""</f>
        <v/>
      </c>
      <c r="N160" s="471"/>
      <c r="O160" s="471"/>
      <c r="P160" s="471"/>
      <c r="Q160" s="471"/>
      <c r="R160" s="471"/>
      <c r="S160" s="471"/>
      <c r="T160" s="471"/>
      <c r="U160" s="472"/>
      <c r="V160" s="472"/>
      <c r="W160" s="472"/>
      <c r="X160" s="472"/>
      <c r="Y160" s="472"/>
      <c r="Z160" s="472"/>
      <c r="AA160" s="472"/>
      <c r="AB160" s="472"/>
      <c r="AC160" s="472"/>
      <c r="AD160" s="472"/>
      <c r="AE160" s="472"/>
      <c r="AF160" s="472"/>
      <c r="AG160" s="472"/>
      <c r="AH160" s="472"/>
    </row>
    <row r="161" spans="2:34" x14ac:dyDescent="0.2">
      <c r="B161" s="61"/>
      <c r="C161" s="61"/>
      <c r="D161" s="61"/>
      <c r="E161" s="61"/>
      <c r="F161" s="61"/>
      <c r="G161" s="61"/>
      <c r="H161" s="61"/>
      <c r="I161" s="61"/>
      <c r="J161" s="61"/>
      <c r="K161" s="61"/>
      <c r="L161" s="61"/>
      <c r="M161" s="61"/>
      <c r="N161" s="471"/>
      <c r="O161" s="471"/>
      <c r="P161" s="471"/>
      <c r="Q161" s="471"/>
      <c r="R161" s="471"/>
      <c r="S161" s="471"/>
      <c r="T161" s="471"/>
      <c r="U161" s="472"/>
      <c r="V161" s="472"/>
      <c r="W161" s="472"/>
      <c r="X161" s="472"/>
      <c r="Y161" s="472"/>
      <c r="Z161" s="472"/>
      <c r="AA161" s="472"/>
      <c r="AB161" s="472"/>
      <c r="AC161" s="472"/>
      <c r="AD161" s="472"/>
      <c r="AE161" s="472"/>
      <c r="AF161" s="472"/>
      <c r="AG161" s="472"/>
      <c r="AH161" s="472"/>
    </row>
    <row r="168" spans="2:34" ht="21" x14ac:dyDescent="0.25">
      <c r="I168" s="467" t="s">
        <v>373</v>
      </c>
    </row>
    <row r="169" spans="2:34" x14ac:dyDescent="0.2">
      <c r="B169" t="s">
        <v>352</v>
      </c>
    </row>
    <row r="170" spans="2:34" x14ac:dyDescent="0.2">
      <c r="B170" t="s">
        <v>24</v>
      </c>
      <c r="C170" t="s">
        <v>25</v>
      </c>
      <c r="D170" t="s">
        <v>32</v>
      </c>
      <c r="E170" t="s">
        <v>14</v>
      </c>
      <c r="F170" t="s">
        <v>254</v>
      </c>
      <c r="G170" t="s">
        <v>255</v>
      </c>
      <c r="H170" t="s">
        <v>256</v>
      </c>
      <c r="I170" t="s">
        <v>0</v>
      </c>
      <c r="J170" t="s">
        <v>13</v>
      </c>
      <c r="K170" t="s">
        <v>128</v>
      </c>
      <c r="L170" t="s">
        <v>33</v>
      </c>
      <c r="M170" t="s">
        <v>34</v>
      </c>
      <c r="N170" t="s">
        <v>30</v>
      </c>
      <c r="O170" s="17" t="s">
        <v>105</v>
      </c>
      <c r="P170" s="17" t="s">
        <v>125</v>
      </c>
      <c r="Q170" t="s">
        <v>31</v>
      </c>
      <c r="R170" t="s">
        <v>36</v>
      </c>
      <c r="S170" t="s">
        <v>37</v>
      </c>
      <c r="T170" t="s">
        <v>423</v>
      </c>
      <c r="U170" t="s">
        <v>710</v>
      </c>
    </row>
    <row r="171" spans="2:34" x14ac:dyDescent="0.2">
      <c r="B171" t="s">
        <v>353</v>
      </c>
      <c r="C171">
        <f>IF(N("Est 1 si plus d'un produit")+SUM(IF(WinRHIZO!H39&gt;0,1,0),IF(WinCAM!H30&gt;0,1,0),
IF(WinRHIZOTron!H13&gt;0,1,0),IF(WinDENDRO!H31&gt;0,1,0),
IF(WinSEEDLE!H39&gt;0,1,0),IF(WinCELL!H13&gt;0,1,0),
IF(WinFOLIA!H30&gt;0,1,0),IF(WinSCANOPY!H27&gt;0,1,0))&gt;1,1,0)</f>
        <v>0</v>
      </c>
      <c r="D171">
        <f>IF(C171&gt;0,1,0)</f>
        <v>0</v>
      </c>
      <c r="I171" t="str">
        <f>IF(Francais,
"Système d'analyse d'image pour l'analyse de plantes végétales",
"Image analysis system for vegetal plants analysis")</f>
        <v>Système d'analyse d'image pour l'analyse de plantes végétales</v>
      </c>
      <c r="J171">
        <v>903149</v>
      </c>
      <c r="K171">
        <f>TableQCalcComInv[[#This Row],[Extended price]]</f>
        <v>0</v>
      </c>
      <c r="L171">
        <f>TableQCalcComInv[[#This Row],[Extended price]]</f>
        <v>0</v>
      </c>
      <c r="M171">
        <f>IF(Distributeurs_Rabais,
IFERROR(SUM(WinRHIZO!#REF!,WinRHIZOTron!#REF!, WinSEEDLE!#REF!, WinFOLIA!#REF!, WinCAM!#REF!,WinDENDRO!#REF!,WinCELL!#REF!, WinSCANOPY!#REF!),0),
SUM(WinRHIZO!H39,WinRHIZOTron!H13, WinSEEDLE!H39, WinFOLIA!H30, WinCAM!H30,WinDENDRO!H31,WinCELL!H13, WinSCANOPY!H27)
)+SUMIF(M148:M154,"&lt;&gt;#N/A")</f>
        <v>0</v>
      </c>
      <c r="N171" t="str">
        <f>IF(TableQCalcComInv[[#This Row],[HowManyHardwareBought]]&gt;0,
IF(TableQCalcComInv[[#This Row],[RowNumOfShownItems_COM]]&lt;&gt;"",INDEX(TableQCalcComInv[Description],TableQCalcComInv[[#This Row],[RowNumOfShownItems_COM]]),""),
SUBSTITUTE(SUBSTITUTE(
IF(TableQCalcComInv[[#This Row],[RowNumOfShownItems_COM]]&lt;&gt;"",INDEX(TableQCalcComInv[Description],TableQCalcComInv[[#This Row],[RowNumOfShownItems_COM]]),""),"Système","Logiciel"),"system","software")
)</f>
        <v/>
      </c>
      <c r="O171" t="str">
        <f>IF(TableQCalcComInv[[#This Row],[RowNumOfShownItems_COM]]&lt;&gt;"",INDEX(TableQCalcComInv[Harmonized Code],TableQCalcComInv[[#This Row],[RowNumOfShownItems_COM]]),"")</f>
        <v/>
      </c>
      <c r="P171" s="474" t="str">
        <f>IF(TableQCalcComInv[[#This Row],[RowNumOfShownItems_COM]]&lt;&gt;"",INDEX(TableQCalcComInv[Detailed Ext Price],TableQCalcComInv[[#This Row],[RowNumOfShownItems_COM]]),"")</f>
        <v/>
      </c>
      <c r="Q171" t="str">
        <f>IF(TableQCalcComInv[[#This Row],[RowNumOfShownItems_COM]]&lt;&gt;"",INDEX(TableQCalcComInv[Real Quantity],TableQCalcComInv[[#This Row],[RowNumOfShownItems_COM]]),"")</f>
        <v/>
      </c>
      <c r="R171" s="474" t="str">
        <f>IF(TableQCalcComInv[[#This Row],[RowNumOfShownItems_COM]]&lt;&gt;"",INDEX(TableQCalcComInv[Unit Price],TableQCalcComInv[[#This Row],[RowNumOfShownItems_COM]]),"")</f>
        <v/>
      </c>
      <c r="S171" s="474" t="str">
        <f>IF(TableQCalcComInv[[#This Row],[RowNumOfShownItems_COM]]&lt;&gt;"",INDEX(TableQCalcComInv[Extended price],TableQCalcComInv[[#This Row],[RowNumOfShownItems_COM]]),"")</f>
        <v/>
      </c>
      <c r="T171" t="str">
        <f t="array" ref="T171">IFERROR(MATCH(0,COUNTIF(N170:$N$170,TableQCalcComInv[Description])+IF(TableQCalcComInv[ShowDesc?]=0,1,0),0),"")</f>
        <v/>
      </c>
      <c r="U171">
        <f>SUMIF(TableQCalcMain[Variable / Product ID],"&lt;&gt;Skip",TableQCalcMain[ShowHard])</f>
        <v>0</v>
      </c>
    </row>
    <row r="172" spans="2:34" x14ac:dyDescent="0.2">
      <c r="B172" t="s">
        <v>354</v>
      </c>
      <c r="C172">
        <f>IF($C$171=1,0,IF(WinRHIZO!$H$39&gt;0,MAX(RHIZO_N_Software,RHIZO_N_System,RHIZO_N_UpgradeUpdate)-1,0))</f>
        <v>0</v>
      </c>
      <c r="D172">
        <f>C172</f>
        <v>0</v>
      </c>
      <c r="I172" t="str">
        <f>IF(Francais,
"Système d'analyse d'image pour l'analyse de racines",
"Image analysis system for roots analysis")</f>
        <v>Système d'analyse d'image pour l'analyse de racines</v>
      </c>
      <c r="J172">
        <f t="shared" ref="J172:J179" si="6">J171</f>
        <v>903149</v>
      </c>
      <c r="K172">
        <f>TableQCalcComInv[[#This Row],[Extended price]]</f>
        <v>0</v>
      </c>
      <c r="L172">
        <f>TableQCalcComInv[[#This Row],[Extended price]]</f>
        <v>0</v>
      </c>
      <c r="M172">
        <f>IF(Distributeurs_Rabais,
IFERROR(WinRHIZO!#REF!,0),
WinRHIZO!$H$39)</f>
        <v>0</v>
      </c>
      <c r="N172" t="str">
        <f>""</f>
        <v/>
      </c>
      <c r="O172" s="471" t="str">
        <f>""</f>
        <v/>
      </c>
      <c r="P172" s="471" t="str">
        <f>""</f>
        <v/>
      </c>
      <c r="Q172" s="471" t="str">
        <f>""</f>
        <v/>
      </c>
      <c r="R172" s="471" t="str">
        <f>""</f>
        <v/>
      </c>
      <c r="S172" s="471" t="str">
        <f>""</f>
        <v/>
      </c>
      <c r="T172" s="471" t="str">
        <f>""</f>
        <v/>
      </c>
      <c r="U172" s="471" t="str">
        <f>""</f>
        <v/>
      </c>
    </row>
    <row r="173" spans="2:34" x14ac:dyDescent="0.2">
      <c r="B173" t="s">
        <v>355</v>
      </c>
      <c r="C173">
        <f>IF($C$171=1,0,IF(WinRHIZOTron!$H$13&gt;0,MAX(RHIZOTRON_N_Software,RHIZOTRON_N_System,RHIZOTRON_N_UpgradeUpdate)-1,0))</f>
        <v>0</v>
      </c>
      <c r="D173">
        <f t="shared" ref="D173:D179" si="7">C173</f>
        <v>0</v>
      </c>
      <c r="I173" t="str">
        <f>IF(Francais,
"Système d'analyse d'image pour l'analyse de racines",
"Image analysis system for roots analysis")</f>
        <v>Système d'analyse d'image pour l'analyse de racines</v>
      </c>
      <c r="J173">
        <f t="shared" si="6"/>
        <v>903149</v>
      </c>
      <c r="K173">
        <f>TableQCalcComInv[[#This Row],[Extended price]]</f>
        <v>0</v>
      </c>
      <c r="L173">
        <f>TableQCalcComInv[[#This Row],[Extended price]]</f>
        <v>0</v>
      </c>
      <c r="M173">
        <f>IF(Distributeurs_Rabais,
IFERROR(WinRHIZOTron!#REF!,0),
WinRHIZOTron!$H$13)</f>
        <v>0</v>
      </c>
      <c r="N173" t="str">
        <f>""</f>
        <v/>
      </c>
      <c r="O173" s="471" t="str">
        <f>""</f>
        <v/>
      </c>
      <c r="P173" s="471" t="str">
        <f>""</f>
        <v/>
      </c>
      <c r="Q173" s="471" t="str">
        <f>""</f>
        <v/>
      </c>
      <c r="R173" s="471" t="str">
        <f>""</f>
        <v/>
      </c>
      <c r="S173" s="471" t="str">
        <f>""</f>
        <v/>
      </c>
      <c r="T173" s="471" t="str">
        <f>""</f>
        <v/>
      </c>
      <c r="U173" s="471" t="str">
        <f>""</f>
        <v/>
      </c>
    </row>
    <row r="174" spans="2:34" x14ac:dyDescent="0.2">
      <c r="B174" t="s">
        <v>356</v>
      </c>
      <c r="C174">
        <f>IF($C$171=1,0,IF(WinSEEDLE!$H$39&gt;0,MAX(SEEDLE_N_Software,SEEDLE_N_System,SEEDLE_N_UpgradeUpdate)-1,0))</f>
        <v>0</v>
      </c>
      <c r="D174">
        <f t="shared" si="7"/>
        <v>0</v>
      </c>
      <c r="I174" t="str">
        <f>IF(Francais,
"Système d'analyse d'image pour l'analyse de graines &amp; aiguilles végétales",
"Image analysis system for vegetal seeds &amp; needles analysis")</f>
        <v>Système d'analyse d'image pour l'analyse de graines &amp; aiguilles végétales</v>
      </c>
      <c r="J174">
        <f t="shared" si="6"/>
        <v>903149</v>
      </c>
      <c r="K174">
        <f>TableQCalcComInv[[#This Row],[Extended price]]</f>
        <v>0</v>
      </c>
      <c r="L174">
        <f>TableQCalcComInv[[#This Row],[Extended price]]</f>
        <v>0</v>
      </c>
      <c r="M174">
        <f>IF(Distributeurs_Rabais,
IFERROR(WinSEEDLE!#REF!,0),
WinSEEDLE!$H$39)</f>
        <v>0</v>
      </c>
      <c r="N174" t="str">
        <f>""</f>
        <v/>
      </c>
      <c r="O174" s="471" t="str">
        <f>""</f>
        <v/>
      </c>
      <c r="P174" s="471" t="str">
        <f>""</f>
        <v/>
      </c>
      <c r="Q174" s="471" t="str">
        <f>""</f>
        <v/>
      </c>
      <c r="R174" s="471" t="str">
        <f>""</f>
        <v/>
      </c>
      <c r="S174" s="471" t="str">
        <f>""</f>
        <v/>
      </c>
      <c r="T174" s="471" t="str">
        <f>""</f>
        <v/>
      </c>
      <c r="U174" s="471" t="str">
        <f>""</f>
        <v/>
      </c>
    </row>
    <row r="175" spans="2:34" x14ac:dyDescent="0.2">
      <c r="B175" t="s">
        <v>357</v>
      </c>
      <c r="C175">
        <f>IF($C$171=1,0,IF(WinFOLIA!$H$30&gt;0,MAX(FOLIA_N_Software,FOLIA_N_System,FOLIA_N_UpgradeUpdate)-1,0))</f>
        <v>0</v>
      </c>
      <c r="D175">
        <f t="shared" si="7"/>
        <v>0</v>
      </c>
      <c r="I175" t="str">
        <f>IF(Francais,
"Système d'analyse d'image pour l'analyse de feuilles végétales",
"Image analysis system for vegetal leaves analysis")</f>
        <v>Système d'analyse d'image pour l'analyse de feuilles végétales</v>
      </c>
      <c r="J175">
        <f t="shared" si="6"/>
        <v>903149</v>
      </c>
      <c r="K175">
        <f>TableQCalcComInv[[#This Row],[Extended price]]</f>
        <v>0</v>
      </c>
      <c r="L175">
        <f>TableQCalcComInv[[#This Row],[Extended price]]</f>
        <v>0</v>
      </c>
      <c r="M175">
        <f>IF(Distributeurs_Rabais,
IFERROR(WinFOLIA!#REF!,0),
WinFOLIA!$H$30)</f>
        <v>0</v>
      </c>
      <c r="N175" t="str">
        <f>""</f>
        <v/>
      </c>
      <c r="O175" s="471" t="str">
        <f>""</f>
        <v/>
      </c>
      <c r="P175" s="471" t="str">
        <f>""</f>
        <v/>
      </c>
      <c r="Q175" s="471" t="str">
        <f>""</f>
        <v/>
      </c>
      <c r="R175" s="471" t="str">
        <f>""</f>
        <v/>
      </c>
      <c r="S175" s="471" t="str">
        <f>""</f>
        <v/>
      </c>
      <c r="T175" s="471" t="str">
        <f>""</f>
        <v/>
      </c>
      <c r="U175" s="471" t="str">
        <f>""</f>
        <v/>
      </c>
    </row>
    <row r="176" spans="2:34" x14ac:dyDescent="0.2">
      <c r="B176" t="s">
        <v>358</v>
      </c>
      <c r="C176">
        <f>IF($C$171=1,0,IF(WinCAM!$H$30&gt;0,MAX(CAM_N_Software,CAM_N_System,CAM_N_UpgradeUpdate)-1,0))</f>
        <v>0</v>
      </c>
      <c r="D176">
        <f t="shared" si="7"/>
        <v>0</v>
      </c>
      <c r="I176" t="str">
        <f>IF(Francais,
"Système d'analyse d'image pour l'analyse de couleur",
"Image analysis system for color analysis")</f>
        <v>Système d'analyse d'image pour l'analyse de couleur</v>
      </c>
      <c r="J176">
        <f t="shared" si="6"/>
        <v>903149</v>
      </c>
      <c r="K176">
        <f>TableQCalcComInv[[#This Row],[Extended price]]</f>
        <v>0</v>
      </c>
      <c r="L176">
        <f>TableQCalcComInv[[#This Row],[Extended price]]</f>
        <v>0</v>
      </c>
      <c r="M176">
        <f>IF(Distributeurs_Rabais,
IFERROR(WinCAM!#REF!,0),
WinCAM!$H$30)</f>
        <v>0</v>
      </c>
      <c r="N176" t="str">
        <f>""</f>
        <v/>
      </c>
      <c r="O176" s="471" t="str">
        <f>""</f>
        <v/>
      </c>
      <c r="P176" s="471" t="str">
        <f>""</f>
        <v/>
      </c>
      <c r="Q176" s="471" t="str">
        <f>""</f>
        <v/>
      </c>
      <c r="R176" s="471" t="str">
        <f>""</f>
        <v/>
      </c>
      <c r="S176" s="471" t="str">
        <f>""</f>
        <v/>
      </c>
      <c r="T176" s="471" t="str">
        <f>""</f>
        <v/>
      </c>
      <c r="U176" s="471" t="str">
        <f>""</f>
        <v/>
      </c>
    </row>
    <row r="177" spans="2:21" x14ac:dyDescent="0.2">
      <c r="B177" t="s">
        <v>359</v>
      </c>
      <c r="C177">
        <f>IF($C$171=1,0,IF(WinDENDRO!$H$31&gt;0,MAX(DENDRO_N_Software,DENDRO_N_System,DENDRO_N_UpgradeUpdate)-1,0))</f>
        <v>0</v>
      </c>
      <c r="D177">
        <f t="shared" si="7"/>
        <v>0</v>
      </c>
      <c r="I177" t="str">
        <f>IF(Francais,
"Système d'analyse d'image pour l'analyse de cernes d'arbres",
"Image analysis system for tree rings analysis")</f>
        <v>Système d'analyse d'image pour l'analyse de cernes d'arbres</v>
      </c>
      <c r="J177">
        <f t="shared" si="6"/>
        <v>903149</v>
      </c>
      <c r="K177">
        <f>TableQCalcComInv[[#This Row],[Extended price]]</f>
        <v>0</v>
      </c>
      <c r="L177">
        <f>TableQCalcComInv[[#This Row],[Extended price]]</f>
        <v>0</v>
      </c>
      <c r="M177">
        <f>IF(Distributeurs_Rabais,
IFERROR(WinDENDRO!#REF!,0),
WinDENDRO!$H$31)</f>
        <v>0</v>
      </c>
      <c r="N177" t="str">
        <f>""</f>
        <v/>
      </c>
      <c r="O177" s="471" t="str">
        <f>""</f>
        <v/>
      </c>
      <c r="P177" s="471" t="str">
        <f>""</f>
        <v/>
      </c>
      <c r="Q177" s="471" t="str">
        <f>""</f>
        <v/>
      </c>
      <c r="R177" s="471" t="str">
        <f>""</f>
        <v/>
      </c>
      <c r="S177" s="471" t="str">
        <f>""</f>
        <v/>
      </c>
      <c r="T177" s="471" t="str">
        <f>""</f>
        <v/>
      </c>
      <c r="U177" s="471" t="str">
        <f>""</f>
        <v/>
      </c>
    </row>
    <row r="178" spans="2:21" x14ac:dyDescent="0.2">
      <c r="B178" t="s">
        <v>360</v>
      </c>
      <c r="C178">
        <f>IF($C$171=1,0,IF(WinCELL!$H$13&gt;0,MAX(CELL_N_Software,CELL_N_System,CELL_N_UpgradeUpdate)-1,0))</f>
        <v>0</v>
      </c>
      <c r="D178">
        <f t="shared" si="7"/>
        <v>0</v>
      </c>
      <c r="I178" t="str">
        <f>IF(Francais,
"Système d'analyse d'image pour l'analyse de cellules végétales",
"Image analysis system for vegetal cells analysis")</f>
        <v>Système d'analyse d'image pour l'analyse de cellules végétales</v>
      </c>
      <c r="J178">
        <f t="shared" si="6"/>
        <v>903149</v>
      </c>
      <c r="K178">
        <f>TableQCalcComInv[[#This Row],[Extended price]]</f>
        <v>0</v>
      </c>
      <c r="L178">
        <f>TableQCalcComInv[[#This Row],[Extended price]]</f>
        <v>0</v>
      </c>
      <c r="M178">
        <f>IF(Distributeurs_Rabais,
IFERROR(WinCELL!#REF!,0),
WinCELL!$H$13)</f>
        <v>0</v>
      </c>
      <c r="N178" t="str">
        <f>""</f>
        <v/>
      </c>
      <c r="O178" s="471" t="str">
        <f>""</f>
        <v/>
      </c>
      <c r="P178" s="471" t="str">
        <f>""</f>
        <v/>
      </c>
      <c r="Q178" s="471" t="str">
        <f>""</f>
        <v/>
      </c>
      <c r="R178" s="471" t="str">
        <f>""</f>
        <v/>
      </c>
      <c r="S178" s="471" t="str">
        <f>""</f>
        <v/>
      </c>
      <c r="T178" s="471" t="str">
        <f>""</f>
        <v/>
      </c>
      <c r="U178" s="471" t="str">
        <f>""</f>
        <v/>
      </c>
    </row>
    <row r="179" spans="2:21" x14ac:dyDescent="0.2">
      <c r="B179" t="s">
        <v>361</v>
      </c>
      <c r="C179">
        <f>IF($C$171=1,0,IF(WinSCANOPY!$H$27&gt;0,MAX(SCANOPY_N_Software,SCANOPY_N_System,SCANOPY_N_UpgradeUpdate)-1,0))</f>
        <v>0</v>
      </c>
      <c r="D179">
        <f t="shared" si="7"/>
        <v>0</v>
      </c>
      <c r="I179" t="str">
        <f>IF(Francais,
"Système d'analyse d'image pour l'analyse de canopée végétale",
"Image analysis system for vegetal canopy analysis")</f>
        <v>Système d'analyse d'image pour l'analyse de canopée végétale</v>
      </c>
      <c r="J179">
        <f t="shared" si="6"/>
        <v>903149</v>
      </c>
      <c r="K179">
        <f>TableQCalcComInv[[#This Row],[Extended price]]</f>
        <v>0</v>
      </c>
      <c r="L179">
        <f>TableQCalcComInv[[#This Row],[Extended price]]</f>
        <v>0</v>
      </c>
      <c r="M179">
        <f>IF(Distributeurs_Rabais,
IFERROR(WinSCANOPY!#REF!,0),
WinSCANOPY!$H$27)</f>
        <v>0</v>
      </c>
      <c r="N179" t="str">
        <f>""</f>
        <v/>
      </c>
      <c r="O179" s="471" t="str">
        <f>""</f>
        <v/>
      </c>
      <c r="P179" s="471" t="str">
        <f>""</f>
        <v/>
      </c>
      <c r="Q179" s="471" t="str">
        <f>""</f>
        <v/>
      </c>
      <c r="R179" s="471" t="str">
        <f>""</f>
        <v/>
      </c>
      <c r="S179" s="471" t="str">
        <f>""</f>
        <v/>
      </c>
      <c r="T179" s="471" t="str">
        <f>""</f>
        <v/>
      </c>
      <c r="U179" s="471" t="str">
        <f>""</f>
        <v/>
      </c>
    </row>
    <row r="183" spans="2:21" ht="17" x14ac:dyDescent="0.2">
      <c r="B183" s="63" t="s">
        <v>120</v>
      </c>
      <c r="C183" s="63"/>
      <c r="D183" s="63"/>
      <c r="E183" s="63"/>
      <c r="F183" s="63"/>
      <c r="G183" s="63"/>
      <c r="H183" s="63"/>
      <c r="I183" s="63"/>
      <c r="J183" s="63"/>
      <c r="K183" s="63"/>
      <c r="L183" s="63"/>
    </row>
    <row r="184" spans="2:21" x14ac:dyDescent="0.2">
      <c r="B184" t="s">
        <v>14</v>
      </c>
      <c r="C184" t="s">
        <v>129</v>
      </c>
      <c r="D184" t="s">
        <v>112</v>
      </c>
      <c r="E184" t="s">
        <v>130</v>
      </c>
      <c r="F184" t="s">
        <v>131</v>
      </c>
      <c r="G184" t="s">
        <v>132</v>
      </c>
      <c r="H184" t="s">
        <v>110</v>
      </c>
      <c r="I184" t="s">
        <v>7</v>
      </c>
      <c r="J184" t="s">
        <v>106</v>
      </c>
      <c r="K184" t="s">
        <v>424</v>
      </c>
      <c r="L184" t="s">
        <v>107</v>
      </c>
      <c r="M184" t="s">
        <v>244</v>
      </c>
      <c r="N184" t="s">
        <v>111</v>
      </c>
    </row>
    <row r="185" spans="2:21" x14ac:dyDescent="0.2">
      <c r="B185" t="s">
        <v>1</v>
      </c>
      <c r="C185" s="711">
        <f>WinDENDRO!H4</f>
        <v>0</v>
      </c>
      <c r="D185" s="711" t="e">
        <f>WinDENDRO!#REF!</f>
        <v>#REF!</v>
      </c>
      <c r="E185">
        <f>DENDRO_N_Software-1</f>
        <v>0</v>
      </c>
      <c r="F185">
        <f>IFERROR(IF(QCalc!$F$200&gt;0,WinDENDRO!$G5,0),0)</f>
        <v>0</v>
      </c>
      <c r="G185" s="232">
        <f>IFERROR(IF(QCalc!$F$200&gt;0,WinDENDRO!$G6,0),0)</f>
        <v>0</v>
      </c>
      <c r="H185">
        <f>DENDRO_OptionXL*(DENDRO_N_Software-1)</f>
        <v>0</v>
      </c>
      <c r="I185" t="e">
        <f>IF(QUOTE_SameClient=TRUE,
REPT(" ",30)&amp;INDEX(TableLists[Column12],TableQCalcRabais[[#This Row],[iRow+2]])*100 &amp; IF(Francais,"% de rabais sur ","% discount on ") &amp; INDEX(IF(Francais,{"2e";"3e";"4e";"5e";"6e";"7e";"8e"},{"2nd";"3rd";"4th";"5th";"6th";"7th";"8th"}),TableQCalcRabais[[#This Row],[iRow+2]]-1) &amp; IF(Francais," produit: "," product: ") &amp;
INDEX(TableQCalcRabais[Software],MATCH(TableQCalcRabais[[#This Row],[iRow+2]],TableQCalcRabais[Rank],0)) &amp;" (" &amp;IF(
INDEX(TableQCalcRabais[license],MATCH(TableQCalcRabais[[#This Row],[iRow+2]],TableQCalcRabais[Rank],0))&gt;0,IF(Francais,"Nouvelle License","New License"),"") &amp; IF(AND(
INDEX(TableQCalcRabais[license],MATCH(TableQCalcRabais[[#This Row],[iRow+2]],TableQCalcRabais[Rank],0))&gt;0,OR(
INDEX(TableQCalcRabais[update],MATCH(TableQCalcRabais[[#This Row],[iRow+2]],TableQCalcRabais[Rank],0))&gt;0,
INDEX(TableQCalcRabais[upgrade],MATCH(TableQCalcRabais[[#This Row],[iRow+2]],TableQCalcRabais[Rank],0))&gt;0,
INDEX(TableQCalcRabais[upgrade],MATCH(TableQCalcRabais[[#This Row],[iRow+2]],TableQCalcRabais[Rank],0))&gt;0)),"&amp;","") &amp;IF(OR(
INDEX(TableQCalcRabais[update],MATCH(TableQCalcRabais[[#This Row],[iRow+2]],TableQCalcRabais[Rank],0))&gt;0,
INDEX(TableQCalcRabais[upgrade],MATCH(TableQCalcRabais[[#This Row],[iRow+2]],TableQCalcRabais[Rank],0))&gt;0),IF(Francais,"M-à-jour","Update"),"") &amp;IF(
INDEX(TableQCalcRabais[XLSoftware],MATCH(TableQCalcRabais[[#This Row],[iRow+2]],TableQCalcRabais[Rank],0))&gt;0,
INDEX(TableQCalcRabais[XLName],MATCH(TableQCalcRabais[[#This Row],[iRow+2]],TableQCalcRabais[Rank],0)),"") &amp; ")",NA())</f>
        <v>#N/A</v>
      </c>
      <c r="J185">
        <f xml:space="preserve">
IF((_xlfn.RANK.EQ(C185,$C$185:$C$192,0)+COUNTIF($C$185:C185,C185)-1)&lt;=COUNTIF($C$185:$C$192,"&gt;0"),_xlfn.RANK.EQ(C185,$C$185:$C$192,0)+COUNTIF($C$185:C185,C185)-1,0)</f>
        <v>0</v>
      </c>
      <c r="K185">
        <f t="shared" ref="K185:K192" si="8">ROW(B185)-ROW($B$185)+2</f>
        <v>2</v>
      </c>
    </row>
    <row r="186" spans="2:21" x14ac:dyDescent="0.2">
      <c r="B186" t="s">
        <v>8</v>
      </c>
      <c r="C186" s="711">
        <f>WinCELL!H4</f>
        <v>0</v>
      </c>
      <c r="D186" s="711" t="e">
        <f>WinCELL!#REF!</f>
        <v>#REF!</v>
      </c>
      <c r="E186">
        <f>CELL_N_Software-1</f>
        <v>0</v>
      </c>
      <c r="F186">
        <f>IFERROR(IF(QCalc!$F$201&gt;0,WinCELL!$G5,0),0)</f>
        <v>0</v>
      </c>
      <c r="G186" s="233">
        <f>IFERROR(IF(QCalc!$F$201&gt;0,WinCELL!$G6,0),0)</f>
        <v>0</v>
      </c>
      <c r="H186">
        <f>CELL_OptionXL*(CELL_N_Software-1)</f>
        <v>0</v>
      </c>
      <c r="I186" t="e">
        <f>IF(QUOTE_SameClient=TRUE,
REPT(" ",30)&amp;INDEX(TableLists[Column12],TableQCalcRabais[[#This Row],[iRow+2]])*100 &amp; IF(Francais,"% de rabais sur ","% discount on ") &amp; INDEX(IF(Francais,{"2e";"3e";"4e";"5e";"6e";"7e";"8e"},{"2nd";"3rd";"4th";"5th";"6th";"7th";"8th"}),TableQCalcRabais[[#This Row],[iRow+2]]-1) &amp; IF(Francais," produit: "," product: ") &amp;
INDEX(TableQCalcRabais[Software],MATCH(TableQCalcRabais[[#This Row],[iRow+2]],TableQCalcRabais[Rank],0)) &amp;" (" &amp;IF(
INDEX(TableQCalcRabais[license],MATCH(TableQCalcRabais[[#This Row],[iRow+2]],TableQCalcRabais[Rank],0))&gt;0,IF(Francais,"Nouvelle License","New License"),"") &amp; IF(AND(
INDEX(TableQCalcRabais[license],MATCH(TableQCalcRabais[[#This Row],[iRow+2]],TableQCalcRabais[Rank],0))&gt;0,OR(
INDEX(TableQCalcRabais[update],MATCH(TableQCalcRabais[[#This Row],[iRow+2]],TableQCalcRabais[Rank],0))&gt;0,
INDEX(TableQCalcRabais[upgrade],MATCH(TableQCalcRabais[[#This Row],[iRow+2]],TableQCalcRabais[Rank],0))&gt;0,
INDEX(TableQCalcRabais[upgrade],MATCH(TableQCalcRabais[[#This Row],[iRow+2]],TableQCalcRabais[Rank],0))&gt;0)),"&amp;","") &amp;IF(OR(
INDEX(TableQCalcRabais[update],MATCH(TableQCalcRabais[[#This Row],[iRow+2]],TableQCalcRabais[Rank],0))&gt;0,
INDEX(TableQCalcRabais[upgrade],MATCH(TableQCalcRabais[[#This Row],[iRow+2]],TableQCalcRabais[Rank],0))&gt;0),IF(Francais,"M-à-jour","Update"),"") &amp;IF(
INDEX(TableQCalcRabais[XLSoftware],MATCH(TableQCalcRabais[[#This Row],[iRow+2]],TableQCalcRabais[Rank],0))&gt;0,
INDEX(TableQCalcRabais[XLName],MATCH(TableQCalcRabais[[#This Row],[iRow+2]],TableQCalcRabais[Rank],0)),"") &amp; ")",NA())</f>
        <v>#N/A</v>
      </c>
      <c r="J186">
        <f xml:space="preserve">
IF((_xlfn.RANK.EQ(C186,$C$185:$C$192,0)+COUNTIF($C$185:C186,C186)-1)&lt;=COUNTIF($C$185:$C$192,"&gt;0"),_xlfn.RANK.EQ(C186,$C$185:$C$192,0)+COUNTIF($C$185:C186,C186)-1,0)</f>
        <v>0</v>
      </c>
      <c r="K186">
        <f t="shared" si="8"/>
        <v>3</v>
      </c>
    </row>
    <row r="187" spans="2:21" x14ac:dyDescent="0.2">
      <c r="B187" t="s">
        <v>9</v>
      </c>
      <c r="C187" s="711">
        <f>WinRHIZO!H4</f>
        <v>0</v>
      </c>
      <c r="D187" s="711" t="e">
        <f>WinRHIZO!#REF!</f>
        <v>#REF!</v>
      </c>
      <c r="E187">
        <f>RHIZO_N_Software-1</f>
        <v>0</v>
      </c>
      <c r="F187">
        <f>IFERROR(IF(QCalc!$F$195&gt;0,WinRHIZO!$G5,0),0)</f>
        <v>0</v>
      </c>
      <c r="G187" s="232">
        <f>IFERROR(IF(QCalc!$F$195&gt;0,WinRHIZO!$G6,0),0)</f>
        <v>0</v>
      </c>
      <c r="H187">
        <f>RHIZO_OptionXL*(RHIZO_N_Software-1)</f>
        <v>0</v>
      </c>
      <c r="I187" t="e">
        <f>IF(QUOTE_SameClient=TRUE,
REPT(" ",30)&amp;INDEX(TableLists[Column12],TableQCalcRabais[[#This Row],[iRow+2]])*100 &amp; IF(Francais,"% de rabais sur ","% discount on ") &amp; INDEX(IF(Francais,{"2e";"3e";"4e";"5e";"6e";"7e";"8e"},{"2nd";"3rd";"4th";"5th";"6th";"7th";"8th"}),TableQCalcRabais[[#This Row],[iRow+2]]-1) &amp; IF(Francais," produit: "," product: ") &amp;
INDEX(TableQCalcRabais[Software],MATCH(TableQCalcRabais[[#This Row],[iRow+2]],TableQCalcRabais[Rank],0)) &amp;" (" &amp;IF(
INDEX(TableQCalcRabais[license],MATCH(TableQCalcRabais[[#This Row],[iRow+2]],TableQCalcRabais[Rank],0))&gt;0,IF(Francais,"Nouvelle License","New License"),"") &amp; IF(AND(
INDEX(TableQCalcRabais[license],MATCH(TableQCalcRabais[[#This Row],[iRow+2]],TableQCalcRabais[Rank],0))&gt;0,OR(
INDEX(TableQCalcRabais[update],MATCH(TableQCalcRabais[[#This Row],[iRow+2]],TableQCalcRabais[Rank],0))&gt;0,
INDEX(TableQCalcRabais[upgrade],MATCH(TableQCalcRabais[[#This Row],[iRow+2]],TableQCalcRabais[Rank],0))&gt;0,
INDEX(TableQCalcRabais[upgrade],MATCH(TableQCalcRabais[[#This Row],[iRow+2]],TableQCalcRabais[Rank],0))&gt;0)),"&amp;","") &amp;IF(OR(
INDEX(TableQCalcRabais[update],MATCH(TableQCalcRabais[[#This Row],[iRow+2]],TableQCalcRabais[Rank],0))&gt;0,
INDEX(TableQCalcRabais[upgrade],MATCH(TableQCalcRabais[[#This Row],[iRow+2]],TableQCalcRabais[Rank],0))&gt;0),IF(Francais,"M-à-jour","Update"),"") &amp;IF(
INDEX(TableQCalcRabais[XLSoftware],MATCH(TableQCalcRabais[[#This Row],[iRow+2]],TableQCalcRabais[Rank],0))&gt;0,
INDEX(TableQCalcRabais[XLName],MATCH(TableQCalcRabais[[#This Row],[iRow+2]],TableQCalcRabais[Rank],0)),"") &amp; ")",NA())</f>
        <v>#N/A</v>
      </c>
      <c r="J187">
        <f xml:space="preserve">
IF((_xlfn.RANK.EQ(C187,$C$185:$C$192,0)+COUNTIF($C$185:C187,C187)-1)&lt;=COUNTIF($C$185:$C$192,"&gt;0"),_xlfn.RANK.EQ(C187,$C$185:$C$192,0)+COUNTIF($C$185:C187,C187)-1,0)</f>
        <v>0</v>
      </c>
      <c r="K187">
        <f t="shared" si="8"/>
        <v>4</v>
      </c>
    </row>
    <row r="188" spans="2:21" x14ac:dyDescent="0.2">
      <c r="B188" t="s">
        <v>109</v>
      </c>
      <c r="C188" s="711">
        <f>WinRHIZOTron!H4</f>
        <v>0</v>
      </c>
      <c r="D188" s="711" t="e">
        <f>WinRHIZOTron!#REF!</f>
        <v>#REF!</v>
      </c>
      <c r="E188">
        <f>RHIZOTRON_N_Software-1</f>
        <v>0</v>
      </c>
      <c r="F188">
        <f>IFERROR(IF(QCalc!$F$196&gt;0,WinRHIZOTron!$G5,0),0)</f>
        <v>0</v>
      </c>
      <c r="G188" s="233">
        <f>IFERROR(IF(QCalc!$F$196&gt;0,WinRHIZOTron!$G6,0),0)</f>
        <v>0</v>
      </c>
      <c r="H188">
        <f>RHIZOTRON_OptionXL*(RHIZOTRON_N_Software-1)</f>
        <v>0</v>
      </c>
      <c r="I188" t="e">
        <f>IF(QUOTE_SameClient=TRUE,
REPT(" ",30)&amp;INDEX(TableLists[Column12],TableQCalcRabais[[#This Row],[iRow+2]])*100 &amp; IF(Francais,"% de rabais sur ","% discount on ") &amp; INDEX(IF(Francais,{"2e";"3e";"4e";"5e";"6e";"7e";"8e"},{"2nd";"3rd";"4th";"5th";"6th";"7th";"8th"}),TableQCalcRabais[[#This Row],[iRow+2]]-1) &amp; IF(Francais," produit: "," product: ") &amp;
INDEX(TableQCalcRabais[Software],MATCH(TableQCalcRabais[[#This Row],[iRow+2]],TableQCalcRabais[Rank],0)) &amp;" (" &amp;IF(
INDEX(TableQCalcRabais[license],MATCH(TableQCalcRabais[[#This Row],[iRow+2]],TableQCalcRabais[Rank],0))&gt;0,IF(Francais,"Nouvelle License","New License"),"") &amp; IF(AND(
INDEX(TableQCalcRabais[license],MATCH(TableQCalcRabais[[#This Row],[iRow+2]],TableQCalcRabais[Rank],0))&gt;0,OR(
INDEX(TableQCalcRabais[update],MATCH(TableQCalcRabais[[#This Row],[iRow+2]],TableQCalcRabais[Rank],0))&gt;0,
INDEX(TableQCalcRabais[upgrade],MATCH(TableQCalcRabais[[#This Row],[iRow+2]],TableQCalcRabais[Rank],0))&gt;0,
INDEX(TableQCalcRabais[upgrade],MATCH(TableQCalcRabais[[#This Row],[iRow+2]],TableQCalcRabais[Rank],0))&gt;0)),"&amp;","") &amp;IF(OR(
INDEX(TableQCalcRabais[update],MATCH(TableQCalcRabais[[#This Row],[iRow+2]],TableQCalcRabais[Rank],0))&gt;0,
INDEX(TableQCalcRabais[upgrade],MATCH(TableQCalcRabais[[#This Row],[iRow+2]],TableQCalcRabais[Rank],0))&gt;0),IF(Francais,"M-à-jour","Update"),"") &amp;IF(
INDEX(TableQCalcRabais[XLSoftware],MATCH(TableQCalcRabais[[#This Row],[iRow+2]],TableQCalcRabais[Rank],0))&gt;0,
INDEX(TableQCalcRabais[XLName],MATCH(TableQCalcRabais[[#This Row],[iRow+2]],TableQCalcRabais[Rank],0)),"") &amp; ")",NA())</f>
        <v>#N/A</v>
      </c>
      <c r="J188">
        <f xml:space="preserve">
IF((_xlfn.RANK.EQ(C188,$C$185:$C$192,0)+COUNTIF($C$185:C188,C188)-1)&lt;=COUNTIF($C$185:$C$192,"&gt;0"),_xlfn.RANK.EQ(C188,$C$185:$C$192,0)+COUNTIF($C$185:C188,C188)-1,0)</f>
        <v>0</v>
      </c>
      <c r="K188">
        <f t="shared" si="8"/>
        <v>5</v>
      </c>
    </row>
    <row r="189" spans="2:21" x14ac:dyDescent="0.2">
      <c r="B189" t="s">
        <v>5</v>
      </c>
      <c r="C189" s="711">
        <f>WinFOLIA!H4</f>
        <v>0</v>
      </c>
      <c r="D189" s="711" t="e">
        <f>WinFOLIA!#REF!</f>
        <v>#REF!</v>
      </c>
      <c r="E189">
        <f>FOLIA_N_Software-1</f>
        <v>0</v>
      </c>
      <c r="F189">
        <f>IFERROR(IF(QCalc!$F$198&gt;0,WinFOLIA!$G5,0),0)</f>
        <v>0</v>
      </c>
      <c r="G189" s="232">
        <f>IFERROR(IF(QCalc!$F$198&gt;0,WinFOLIA!$G6,0),0)</f>
        <v>0</v>
      </c>
      <c r="H189">
        <f>FOLIA_OptionXL*(FOLIA_N_Software-1)</f>
        <v>0</v>
      </c>
      <c r="I189" t="e">
        <f>IF(QUOTE_SameClient=TRUE,
REPT(" ",30)&amp;INDEX(TableLists[Column12],TableQCalcRabais[[#This Row],[iRow+2]])*100 &amp; IF(Francais,"% de rabais sur ","% discount on ") &amp; INDEX(IF(Francais,{"2e";"3e";"4e";"5e";"6e";"7e";"8e"},{"2nd";"3rd";"4th";"5th";"6th";"7th";"8th"}),TableQCalcRabais[[#This Row],[iRow+2]]-1) &amp; IF(Francais," produit: "," product: ") &amp;
INDEX(TableQCalcRabais[Software],MATCH(TableQCalcRabais[[#This Row],[iRow+2]],TableQCalcRabais[Rank],0)) &amp;" (" &amp;IF(
INDEX(TableQCalcRabais[license],MATCH(TableQCalcRabais[[#This Row],[iRow+2]],TableQCalcRabais[Rank],0))&gt;0,IF(Francais,"Nouvelle License","New License"),"") &amp; IF(AND(
INDEX(TableQCalcRabais[license],MATCH(TableQCalcRabais[[#This Row],[iRow+2]],TableQCalcRabais[Rank],0))&gt;0,OR(
INDEX(TableQCalcRabais[update],MATCH(TableQCalcRabais[[#This Row],[iRow+2]],TableQCalcRabais[Rank],0))&gt;0,
INDEX(TableQCalcRabais[upgrade],MATCH(TableQCalcRabais[[#This Row],[iRow+2]],TableQCalcRabais[Rank],0))&gt;0,
INDEX(TableQCalcRabais[upgrade],MATCH(TableQCalcRabais[[#This Row],[iRow+2]],TableQCalcRabais[Rank],0))&gt;0)),"&amp;","") &amp;IF(OR(
INDEX(TableQCalcRabais[update],MATCH(TableQCalcRabais[[#This Row],[iRow+2]],TableQCalcRabais[Rank],0))&gt;0,
INDEX(TableQCalcRabais[upgrade],MATCH(TableQCalcRabais[[#This Row],[iRow+2]],TableQCalcRabais[Rank],0))&gt;0),IF(Francais,"M-à-jour","Update"),"") &amp;IF(
INDEX(TableQCalcRabais[XLSoftware],MATCH(TableQCalcRabais[[#This Row],[iRow+2]],TableQCalcRabais[Rank],0))&gt;0,
INDEX(TableQCalcRabais[XLName],MATCH(TableQCalcRabais[[#This Row],[iRow+2]],TableQCalcRabais[Rank],0)),"") &amp; ")",NA())</f>
        <v>#N/A</v>
      </c>
      <c r="J189">
        <f xml:space="preserve">
IF((_xlfn.RANK.EQ(C189,$C$185:$C$192,0)+COUNTIF($C$185:C189,C189)-1)&lt;=COUNTIF($C$185:$C$192,"&gt;0"),_xlfn.RANK.EQ(C189,$C$185:$C$192,0)+COUNTIF($C$185:C189,C189)-1,0)</f>
        <v>0</v>
      </c>
      <c r="K189">
        <f t="shared" si="8"/>
        <v>6</v>
      </c>
    </row>
    <row r="190" spans="2:21" x14ac:dyDescent="0.2">
      <c r="B190" t="s">
        <v>10</v>
      </c>
      <c r="C190" s="711">
        <f>WinSEEDLE!H4</f>
        <v>0</v>
      </c>
      <c r="D190" s="711" t="e">
        <f>WinSEEDLE!#REF!</f>
        <v>#REF!</v>
      </c>
      <c r="E190">
        <f>SEEDLE_N_Software-1</f>
        <v>0</v>
      </c>
      <c r="F190">
        <f>IFERROR(IF(QCalc!$F$197&gt;0,WinSEEDLE!$G5,0),0)</f>
        <v>0</v>
      </c>
      <c r="G190" s="233">
        <f>IFERROR(IF(QCalc!$F$197&gt;0,WinSEEDLE!$G6,0),0)</f>
        <v>0</v>
      </c>
      <c r="H190">
        <f>SEEDLE_OptionXL*(SEEDLE_N_Software-1)</f>
        <v>0</v>
      </c>
      <c r="I190" t="e">
        <f>IF(QUOTE_SameClient=TRUE,
REPT(" ",30)&amp;INDEX(TableLists[Column12],TableQCalcRabais[[#This Row],[iRow+2]])*100 &amp; IF(Francais,"% de rabais sur ","% discount on ") &amp; INDEX(IF(Francais,{"2e";"3e";"4e";"5e";"6e";"7e";"8e"},{"2nd";"3rd";"4th";"5th";"6th";"7th";"8th"}),TableQCalcRabais[[#This Row],[iRow+2]]-1) &amp; IF(Francais," produit: "," product: ") &amp;
INDEX(TableQCalcRabais[Software],MATCH(TableQCalcRabais[[#This Row],[iRow+2]],TableQCalcRabais[Rank],0)) &amp;" (" &amp;IF(
INDEX(TableQCalcRabais[license],MATCH(TableQCalcRabais[[#This Row],[iRow+2]],TableQCalcRabais[Rank],0))&gt;0,IF(Francais,"Nouvelle License","New License"),"") &amp; IF(AND(
INDEX(TableQCalcRabais[license],MATCH(TableQCalcRabais[[#This Row],[iRow+2]],TableQCalcRabais[Rank],0))&gt;0,OR(
INDEX(TableQCalcRabais[update],MATCH(TableQCalcRabais[[#This Row],[iRow+2]],TableQCalcRabais[Rank],0))&gt;0,
INDEX(TableQCalcRabais[upgrade],MATCH(TableQCalcRabais[[#This Row],[iRow+2]],TableQCalcRabais[Rank],0))&gt;0,
INDEX(TableQCalcRabais[upgrade],MATCH(TableQCalcRabais[[#This Row],[iRow+2]],TableQCalcRabais[Rank],0))&gt;0)),"&amp;","") &amp;IF(OR(
INDEX(TableQCalcRabais[update],MATCH(TableQCalcRabais[[#This Row],[iRow+2]],TableQCalcRabais[Rank],0))&gt;0,
INDEX(TableQCalcRabais[upgrade],MATCH(TableQCalcRabais[[#This Row],[iRow+2]],TableQCalcRabais[Rank],0))&gt;0),IF(Francais,"M-à-jour","Update"),"") &amp;IF(
INDEX(TableQCalcRabais[XLSoftware],MATCH(TableQCalcRabais[[#This Row],[iRow+2]],TableQCalcRabais[Rank],0))&gt;0,
INDEX(TableQCalcRabais[XLName],MATCH(TableQCalcRabais[[#This Row],[iRow+2]],TableQCalcRabais[Rank],0)),"") &amp; ")",NA())</f>
        <v>#N/A</v>
      </c>
      <c r="J190">
        <f xml:space="preserve">
IF((_xlfn.RANK.EQ(C190,$C$185:$C$192,0)+COUNTIF($C$185:C190,C190)-1)&lt;=COUNTIF($C$185:$C$192,"&gt;0"),_xlfn.RANK.EQ(C190,$C$185:$C$192,0)+COUNTIF($C$185:C190,C190)-1,0)</f>
        <v>0</v>
      </c>
      <c r="K190">
        <f t="shared" si="8"/>
        <v>7</v>
      </c>
    </row>
    <row r="191" spans="2:21" x14ac:dyDescent="0.2">
      <c r="B191" t="s">
        <v>11</v>
      </c>
      <c r="C191" s="711">
        <f>WinCAM!H4</f>
        <v>0</v>
      </c>
      <c r="D191" s="711" t="e">
        <f>WinCAM!#REF!</f>
        <v>#REF!</v>
      </c>
      <c r="E191">
        <f>CAM_N_Software-1</f>
        <v>0</v>
      </c>
      <c r="F191">
        <f>IFERROR(IF(QCalc!$F$199&gt;0,WinCAM!$G5,0),0)</f>
        <v>0</v>
      </c>
      <c r="G191" s="232">
        <f>IFERROR(IF(QCalc!$F$199&gt;0,WinCAM!$G6,0),0)</f>
        <v>0</v>
      </c>
      <c r="H191">
        <v>0</v>
      </c>
      <c r="I191" t="e">
        <f>IF(QUOTE_SameClient=TRUE,
REPT(" ",30)&amp;INDEX(TableLists[Column12],TableQCalcRabais[[#This Row],[iRow+2]])*100 &amp; IF(Francais,"% de rabais sur ","% discount on ") &amp; INDEX(IF(Francais,{"2e";"3e";"4e";"5e";"6e";"7e";"8e"},{"2nd";"3rd";"4th";"5th";"6th";"7th";"8th"}),TableQCalcRabais[[#This Row],[iRow+2]]-1) &amp; IF(Francais," produit: "," product: ") &amp;
INDEX(TableQCalcRabais[Software],MATCH(TableQCalcRabais[[#This Row],[iRow+2]],TableQCalcRabais[Rank],0)) &amp;" (" &amp;IF(
INDEX(TableQCalcRabais[license],MATCH(TableQCalcRabais[[#This Row],[iRow+2]],TableQCalcRabais[Rank],0))&gt;0,IF(Francais,"Nouvelle License","New License"),"") &amp; IF(AND(
INDEX(TableQCalcRabais[license],MATCH(TableQCalcRabais[[#This Row],[iRow+2]],TableQCalcRabais[Rank],0))&gt;0,OR(
INDEX(TableQCalcRabais[update],MATCH(TableQCalcRabais[[#This Row],[iRow+2]],TableQCalcRabais[Rank],0))&gt;0,
INDEX(TableQCalcRabais[upgrade],MATCH(TableQCalcRabais[[#This Row],[iRow+2]],TableQCalcRabais[Rank],0))&gt;0,
INDEX(TableQCalcRabais[upgrade],MATCH(TableQCalcRabais[[#This Row],[iRow+2]],TableQCalcRabais[Rank],0))&gt;0)),"&amp;","") &amp;IF(OR(
INDEX(TableQCalcRabais[update],MATCH(TableQCalcRabais[[#This Row],[iRow+2]],TableQCalcRabais[Rank],0))&gt;0,
INDEX(TableQCalcRabais[upgrade],MATCH(TableQCalcRabais[[#This Row],[iRow+2]],TableQCalcRabais[Rank],0))&gt;0),IF(Francais,"M-à-jour","Update"),"") &amp;IF(
INDEX(TableQCalcRabais[XLSoftware],MATCH(TableQCalcRabais[[#This Row],[iRow+2]],TableQCalcRabais[Rank],0))&gt;0,
INDEX(TableQCalcRabais[XLName],MATCH(TableQCalcRabais[[#This Row],[iRow+2]],TableQCalcRabais[Rank],0)),"") &amp; ")",NA())</f>
        <v>#N/A</v>
      </c>
      <c r="J191">
        <f xml:space="preserve">
IF((_xlfn.RANK.EQ(C191,$C$185:$C$192,0)+COUNTIF($C$185:C191,C191)-1)&lt;=COUNTIF($C$185:$C$192,"&gt;0"),_xlfn.RANK.EQ(C191,$C$185:$C$192,0)+COUNTIF($C$185:C191,C191)-1,0)</f>
        <v>0</v>
      </c>
      <c r="K191">
        <f t="shared" si="8"/>
        <v>8</v>
      </c>
    </row>
    <row r="192" spans="2:21" x14ac:dyDescent="0.2">
      <c r="B192" t="str">
        <f>"WinSCANOPY" &amp; IF(OR(SCANOPY_IndexSoftware=1,SCANOPY_IndexSoftware=4)," Mini","")</f>
        <v>WinSCANOPY</v>
      </c>
      <c r="C192" s="711">
        <f>WinSCANOPY!H4</f>
        <v>0</v>
      </c>
      <c r="D192" s="711" t="e">
        <f>WinSCANOPY!#REF!</f>
        <v>#REF!</v>
      </c>
      <c r="E192">
        <f>SCANOPY_N_Software-1</f>
        <v>0</v>
      </c>
      <c r="F192">
        <f>IFERROR(IF(QCalc!$F$202&gt;0,WinSCANOPY!$G5,0),0)</f>
        <v>0</v>
      </c>
      <c r="G192" s="233">
        <f>IFERROR(IF(QCalc!$F$202&gt;0,WinSCANOPY!$G6,0),0)</f>
        <v>0</v>
      </c>
      <c r="H192">
        <f>(SCANOPY_N_Software-1)</f>
        <v>0</v>
      </c>
      <c r="J192">
        <f xml:space="preserve">
IF((_xlfn.RANK.EQ(C192,$C$185:$C$192,0)+COUNTIF($C$185:C192,C192)-1)&lt;=COUNTIF($C$185:$C$192,"&gt;0"),_xlfn.RANK.EQ(C192,$C$185:$C$192,0)+COUNTIF($C$185:C192,C192)-1,0)</f>
        <v>0</v>
      </c>
      <c r="K192">
        <f t="shared" si="8"/>
        <v>9</v>
      </c>
      <c r="N192" s="125"/>
    </row>
    <row r="194" spans="4:9" x14ac:dyDescent="0.2">
      <c r="D194" t="s">
        <v>773</v>
      </c>
      <c r="E194" s="15" t="str">
        <f>IF(Francais,"Prix Unit. de Liste","Item List Price")</f>
        <v>Prix Unit. de Liste</v>
      </c>
      <c r="F194" s="15" t="str">
        <f>IF(Francais,"Prix de liste","List Price")</f>
        <v>Prix de liste</v>
      </c>
      <c r="G194" s="15" t="str">
        <f>IF(Francais,"Prix Dist.","Dist. Price")</f>
        <v>Prix Dist.</v>
      </c>
      <c r="I194" s="40" t="s">
        <v>772</v>
      </c>
    </row>
    <row r="195" spans="4:9" ht="24" x14ac:dyDescent="0.2">
      <c r="E195" s="148">
        <f>IFERROR(F195/(RHIZO_N_UpgradeUpdate-1),0)</f>
        <v>0</v>
      </c>
      <c r="F195" s="187">
        <f>ROUND((WinRHIZO!G5+WinRHIZO!G6)*(RHIZO_N_UpgradeUpdate-1),0)</f>
        <v>0</v>
      </c>
      <c r="G195" s="187">
        <f t="shared" ref="G195:G202" si="9">ROUND(F195*(1-RebateSoftware),0)</f>
        <v>0</v>
      </c>
      <c r="I195" s="317" t="str">
        <f>IF(AND(RHIZO_N_Software=1,RHIZO_N_UpgradeUpdate=1,RHIZO_N_System&gt;1),
IF(Francais,"Système","")&amp;IF(RHIZO_IndexScanner=1," STD4800"," LA2400")&amp;IF(Francais,""," System"),
IF(AND(RHIZO_N_System&gt;1,Francais),"Système ","")&amp;LEFT(INDEX(RHIZO_SoftwareFullNames,RHIZO_IndexSoftware),FIND(" ",INDEX(RHIZO_SoftwareFullNames,RHIZO_IndexSoftware),FIND(" ",INDEX(RHIZO_SoftwareFullNames,RHIZO_IndexSoftware))+1)) &amp;
RHIZO_YearMostRecent &amp;
IF(RHIZO_N_System&gt;1,IF(RHIZO_IndexScanner=1," STD4800"," LA2400")&amp;IF(Francais,""," System"),IF(AND(RHIZO_N_Software=1,RHIZO_N_System=1,RHIZO_N_UpgradeUpdate&gt;1),IF(Francais," Mise à jour"," Update"),IF(Francais," Logiciel"," Software")))) &amp;
IF(AND(RHIZO_ClientWithOrWithoutScanner=2,RHIZO_N_System&gt;1),IF(Francais," Sans Scanner"," Without Scanner"),IF(Francais," Avec Scanner"," With Scanner"))</f>
        <v>WinRHIZO™ Reg 2025 Logiciel Avec Scanner</v>
      </c>
    </row>
    <row r="196" spans="4:9" ht="24" x14ac:dyDescent="0.2">
      <c r="E196" s="154">
        <f>IFERROR(F196/(RHIZOTRON_N_UpgradeUpdate-1),0)</f>
        <v>0</v>
      </c>
      <c r="F196" s="189">
        <f>ROUND((WinRHIZOTron!G5+WinRHIZOTron!G6)*(RHIZOTRON_N_UpgradeUpdate-1),0)</f>
        <v>0</v>
      </c>
      <c r="G196" s="189">
        <f t="shared" si="9"/>
        <v>0</v>
      </c>
      <c r="I196" s="317" t="str">
        <f>LEFT(INDEX(RHIZOTRON_SoftwareFullNames,RHIZOTRON_IndexSoftware),FIND(" ",INDEX(RHIZOTRON_SoftwareFullNames,RHIZOTRON_IndexSoftware),FIND(" ",INDEX(RHIZOTRON_SoftwareFullNames,RHIZOTRON_IndexSoftware))+7)) &amp;
RHIZOTRON_YearMostRecent &amp;
IF(AND(RHIZOTRON_N_Software=1,RHIZOTRON_N_UpgradeUpdate&gt;1),IF(Francais," Mise à jour"," Update"),IF(Francais," Logiciel"," Software"))</f>
        <v>WinRHIZO Tron™ Reg 2025 Logiciel</v>
      </c>
    </row>
    <row r="197" spans="4:9" ht="24" x14ac:dyDescent="0.2">
      <c r="E197" s="161">
        <f>IFERROR(F197/(SEEDLE_N_UpgradeUpdate-1),0)</f>
        <v>0</v>
      </c>
      <c r="F197" s="194">
        <f>ROUND((WinSEEDLE!G5+WinSEEDLE!G6)*(SEEDLE_N_UpgradeUpdate-1),0)</f>
        <v>0</v>
      </c>
      <c r="G197" s="194">
        <f t="shared" si="9"/>
        <v>0</v>
      </c>
      <c r="I197" s="317" t="str">
        <f>IF(AND(SEEDLE_N_Software=1,SEEDLE_N_UpgradeUpdate=1,SEEDLE_N_System&gt;1),
IF(Francais,"Système","")&amp;IF(SEEDLE_IndexScanner=1," STD4800"," LA2400")&amp;IF(Francais,""," System"),
IF(AND(SEEDLE_N_System&gt;1,Francais),"Système ","")&amp;LEFT(INDEX(SEEDLE_SoftwareFullNames,SEEDLE_IndexSoftware),FIND(" ",INDEX(SEEDLE_SoftwareFullNames,SEEDLE_IndexSoftware),FIND(" ",INDEX(SEEDLE_SoftwareFullNames,SEEDLE_IndexSoftware))+1))&amp;
SEEDLE_YearMostRecent&amp;
IF(SEEDLE_N_System&gt;1,IF(SEEDLE_IndexScanner=1," STD4800"," LA2400")&amp;IF(Francais,""," System"),IF(AND(SEEDLE_N_Software=1,SEEDLE_N_System=1,SEEDLE_N_UpgradeUpdate&gt;1),IF(Francais," Mise à jour"," Update"),IF(Francais," Logiciel"," Software"))))&amp;
IF(AND(SEEDLE_ClientWithOrWithoutScanner=2,SEEDLE_N_System&gt;1),IF(Francais," Sans Scanner"," Without Scanner"),IF(Francais," Avec Scanner"," With Scanner"))</f>
        <v>WinSEEDLE™ Reg 2025 Logiciel Avec Scanner</v>
      </c>
    </row>
    <row r="198" spans="4:9" ht="24" x14ac:dyDescent="0.2">
      <c r="E198" s="157">
        <f>IFERROR(F198/(FOLIA_N_UpgradeUpdate-1),0)</f>
        <v>0</v>
      </c>
      <c r="F198" s="192">
        <f>ROUND((WinFOLIA!G5+WinFOLIA!G6)*(FOLIA_N_UpgradeUpdate-1),0)</f>
        <v>0</v>
      </c>
      <c r="G198" s="192">
        <f t="shared" si="9"/>
        <v>0</v>
      </c>
      <c r="I198" s="317" t="str">
        <f>IF(AND(FOLIA_N_Software=1,FOLIA_N_UpgradeUpdate=1,FOLIA_N_System&gt;1),
IF(Francais,"Système","")&amp;IF(FOLIA_IndexScanner=1," STD4800","")&amp;IF(FOLIA_IndexScanner=2," LA2400","")&amp;IF(FOLIA_IndexScanner=3," LC4800P","")&amp;IF(Francais,""," System"),
IF(AND(FOLIA_N_System&gt;1,Francais),"Système ","")&amp;LEFT(INDEX(FOLIA_SoftwareFullNames,FOLIA_IndexSoftware),FIND(" ",INDEX(FOLIA_SoftwareFullNames,FOLIA_IndexSoftware),FIND(" ",INDEX(FOLIA_SoftwareFullNames,FOLIA_IndexSoftware))+1)) &amp;
FOLIA_YearMostRecent &amp;
IF(FOLIA_N_System&gt;1,IF(FOLIA_IndexScanner=1," STD4800","")&amp;IF(FOLIA_IndexScanner=2," LA2400","")&amp;IF(FOLIA_IndexScanner=3," LC4800P","")&amp;IF(Francais,""," System"),IF(AND(FOLIA_N_Software=1,FOLIA_N_System=1,FOLIA_N_UpgradeUpdate&gt;1),IF(Francais," Mise à jour"," Update"),IF(Francais," Logiciel"," Software")))) &amp;
IF(AND(FOLIA_ClientWithOrWithoutScanner=2,FOLIA_N_System&gt;1),IF(Francais," Sans Scanner"," Without Scanner"),IF(Francais," Avec Scanner"," With Scanner"))</f>
        <v>WinFOLIA™ Reg 2025 Logiciel Avec Scanner</v>
      </c>
    </row>
    <row r="199" spans="4:9" ht="24" x14ac:dyDescent="0.2">
      <c r="E199" s="164">
        <f>IFERROR(F199/(CAM_N_UpgradeUpdate-1),0)</f>
        <v>0</v>
      </c>
      <c r="F199" s="197">
        <f>ROUND((WinCAM!G5+WinCAM!G6)*(CAM_N_UpgradeUpdate-1),0)</f>
        <v>0</v>
      </c>
      <c r="G199" s="197">
        <f t="shared" si="9"/>
        <v>0</v>
      </c>
      <c r="I199" s="317" t="str">
        <f>IF(AND(CAM_N_Software=1,CAM_N_UpgradeUpdate=1,CAM_N_System&gt;1),
IF(Francais,"Système","")&amp;IF(CAM_IndexScanner=1," STD4800","")&amp;IF(CAM_IndexScanner=2," LA2400","")&amp;IF(CAM_IndexScanner=3," LC4800P","")&amp;IF(Francais,""," System"),
IF(AND(CAM_N_System&gt;1,Francais),"Système ","")&amp;LEFT(INDEX(CAM_SoftwareFullNames,CAM_IndexSoftware),FIND(" ",INDEX(CAM_SoftwareFullNames,CAM_IndexSoftware),FIND(" ",INDEX(CAM_SoftwareFullNames,CAM_IndexSoftware))+6)) &amp;
CAM_YearMostRecent &amp;
IF(CAM_N_System&gt;1,IF(CAM_IndexScanner=1," STD4800","")&amp;IF(CAM_IndexScanner=2," LA2400","")&amp;IF(CAM_IndexScanner=3," LC4800P","")&amp;IF(Francais,""," System"),IF(AND(CAM_N_Software=1,CAM_N_System=1,CAM_N_UpgradeUpdate&gt;1),IF(Francais," Mise à jour"," Update"),IF(Francais," Logiciel"," Software")))) &amp;
IF(AND(CAM_ClientWithOrWithoutScanner=2,CAM_N_System&gt;1),IF(Francais," Sans Scanner"," Without Scanner"),IF(Francais," Avec Scanner"," With Scanner"))</f>
        <v>WinCAM™ NDVI Reg 2025 Logiciel Avec Scanner</v>
      </c>
    </row>
    <row r="200" spans="4:9" ht="24" x14ac:dyDescent="0.2">
      <c r="E200" s="127">
        <f>IFERROR(F200/(DENDRO_N_UpgradeUpdate-1),0)</f>
        <v>0</v>
      </c>
      <c r="F200" s="182">
        <f>ROUND((WinDENDRO!G5+WinDENDRO!G6)*(DENDRO_N_UpgradeUpdate-1),0)</f>
        <v>0</v>
      </c>
      <c r="G200" s="182">
        <f t="shared" si="9"/>
        <v>0</v>
      </c>
      <c r="I200" s="317" t="str">
        <f>IF(AND(DENDRO_N_Software=1,DENDRO_N_UpgradeUpdate=1,DENDRO_N_System&gt;1),
IF(Francais,"Système","")&amp;IF(DENDRO_IndexScanner=1," STD4800"," LA2400")&amp;IF(Francais,""," System"),
IF(AND(DENDRO_N_System&gt;1,Francais),"Système ","")&amp;LEFT(INDEX(DENDRO_SoftwareFullNames,DENDRO_IndexSoftware),FIND(" ",INDEX(DENDRO_SoftwareFullNames,DENDRO_IndexSoftware),FIND(" ",INDEX(DENDRO_SoftwareFullNames,DENDRO_IndexSoftware))+1)) &amp;
DENDRO_YearMostRecent &amp;IF(DENDRO_N_System&gt;1,IF(DENDRO_IndexScanner=1," STD4800"," LA2400")&amp;IF(Francais,""," System"),IF(AND(DENDRO_N_Software=1,DENDRO_N_System=1,DENDRO_N_UpgradeUpdate&gt;1),IF(Francais," Mise à jour",IF(Francais," Mise à jour"," Update")),IF(Francais," Logiciel"," Software"))))&amp;
IF(AND(DENDRO_ClientWithOrWithoutScanner=2,DENDRO_N_System&gt;1),IF(Francais," Sans Scanner"," Without Scanner"),IF(Francais," Avec Scanner"," With Scanner"))</f>
        <v>WinDENDRO™ Reg 2025 Logiciel Avec Scanner</v>
      </c>
    </row>
    <row r="201" spans="4:9" ht="24" x14ac:dyDescent="0.2">
      <c r="E201" s="144">
        <f>IFERROR(F201/(CELL_N_UpgradeUpdate-1),0)</f>
        <v>0</v>
      </c>
      <c r="F201" s="185">
        <f>ROUND((WinCELL!G5+WinCELL!G6)*(CELL_N_UpgradeUpdate-1),0)</f>
        <v>0</v>
      </c>
      <c r="G201" s="185">
        <f t="shared" si="9"/>
        <v>0</v>
      </c>
      <c r="I201" s="317" t="str">
        <f>LEFT(INDEX(CELL_SoftwareFullNames,CELL_IndexSoftware),FIND(" ",INDEX(CELL_SoftwareFullNames,CELL_IndexSoftware),FIND(" ",INDEX(CELL_SoftwareFullNames,CELL_IndexSoftware))+1)) &amp;
CELL_YearMostRecent &amp;
IF(AND(CELL_N_Software=1,CELL_N_UpgradeUpdate&gt;1),IF(Francais," Mise à jour"," Update"),IF(Francais," Logiciel"," Software"))</f>
        <v>WinCELL™ Reg 2025 Logiciel</v>
      </c>
    </row>
    <row r="202" spans="4:9" ht="24" x14ac:dyDescent="0.2">
      <c r="E202" s="168">
        <f>IFERROR(F202/(SCANOPY_N_UpgradeUpdate-1),0)</f>
        <v>0</v>
      </c>
      <c r="F202" s="200">
        <f>ROUND((WinSCANOPY!G5+WinSCANOPY!G6)*(SCANOPY_N_UpgradeUpdate-1),0)</f>
        <v>0</v>
      </c>
      <c r="G202" s="200">
        <f t="shared" si="9"/>
        <v>0</v>
      </c>
      <c r="I202" s="317" t="str">
        <f>IF(AND(SCANOPY_N_Software=1,SCANOPY_N_UpgradeUpdate=1,SCANOPY_N_System&gt;1),
IF(Francais,"Système","")&amp;IF(SCANOPY_IndexScanner=1," 24 MP DSLR"," 24 MP Mini Point&amp;Shoot")&amp;IF(Francais,""," System"),
IF(AND(SCANOPY_N_System&gt;1,Francais),"Système ","")&amp;LEFT(INDEX(SCANOPY_SoftwareFullNames,SCANOPY_IndexSoftware),FIND(" ",INDEX(SCANOPY_SoftwareFullNames,SCANOPY_IndexSoftware),FIND(" ",INDEX(SCANOPY_SoftwareFullNames,SCANOPY_IndexSoftware))+1)) &amp;
SCANOPY_YearMostRecent &amp;
IF(SCANOPY_N_System&gt;1,IF(SCANOPY_IndexScanner=1," 24 MP DSLR"," 24 MP Mini Point&amp;Shoot")&amp;IF(Francais,""," System"),IF(AND(SCANOPY_N_Software=1,SCANOPY_N_System=1,SCANOPY_N_UpgradeUpdate&gt;1),IF(Francais," Mise à jour"," Update"),IF(Francais," Logiciel"," Software"))) )</f>
        <v>WinSCANOPY™ Reg 2025 Logiciel</v>
      </c>
    </row>
  </sheetData>
  <sheetProtection algorithmName="SHA-512" hashValue="C65AEswuR0tvR+M4R40ZWktGeX1s0KIZG9bDVXLNP0QpJ8BQfMzg49czjGcP1zj6Rs6n+c3iUYYj/gdZH0iQFw==" saltValue="x0nUOBYl+V1SnwI6eqt2bw==" spinCount="100000" sheet="1" objects="1" scenarios="1" selectLockedCells="1"/>
  <phoneticPr fontId="24" type="noConversion"/>
  <conditionalFormatting sqref="D3:D161">
    <cfRule type="cellIs" dxfId="26" priority="27" operator="notEqual">
      <formula>0</formula>
    </cfRule>
  </conditionalFormatting>
  <conditionalFormatting sqref="E195:G195">
    <cfRule type="expression" dxfId="25" priority="24">
      <formula>IF(N("Si Downgrade prix=0 else Prix")+OR( IF(N("Si on downgrade model")+RHIZO_IndexModelSoftware&lt;RHIZO_IndexModelClient,1,0), IF(N("Si on downgrade de 64bits à 32bits")+AND(RHIZO_IndexClientVersion&gt;RHIZO_UpgradeNModels,RHIZO_IndexSoftware&lt;=RHIZO_UpgradeNModels),1,0) ),1,0)</formula>
    </cfRule>
  </conditionalFormatting>
  <conditionalFormatting sqref="E195">
    <cfRule type="expression" dxfId="24" priority="25">
      <formula>OR(IndexZone=5)</formula>
    </cfRule>
    <cfRule type="expression" dxfId="23" priority="26">
      <formula>OR(IndexZone=3, IndexZone=8, IndexZone=10)</formula>
    </cfRule>
  </conditionalFormatting>
  <conditionalFormatting sqref="F194">
    <cfRule type="expression" dxfId="22" priority="22">
      <formula>OR(IndexZone=5)</formula>
    </cfRule>
    <cfRule type="expression" dxfId="21" priority="23">
      <formula>OR(IndexZone=3, IndexZone=8, IndexZone=10)</formula>
    </cfRule>
  </conditionalFormatting>
  <conditionalFormatting sqref="E196:G196">
    <cfRule type="expression" dxfId="20" priority="19">
      <formula>IF(N("Si Downgrade prix=0 else Prix")+OR( IF(N("Si on downgrade model")+RHIZO_IndexModelSoftware&lt;RHIZO_IndexModelClient,1,0), IF(N("Si on downgrade de 64bits à 32bits")+AND(RHIZO_IndexClientVersion&gt;RHIZO_UpgradeNModels,RHIZO_IndexSoftware&lt;=RHIZO_UpgradeNModels),1,0) ),1,0)</formula>
    </cfRule>
  </conditionalFormatting>
  <conditionalFormatting sqref="E196">
    <cfRule type="expression" dxfId="19" priority="20">
      <formula>OR(IndexZone=5)</formula>
    </cfRule>
    <cfRule type="expression" dxfId="18" priority="21">
      <formula>OR(IndexZone=3, IndexZone=8, IndexZone=10)</formula>
    </cfRule>
  </conditionalFormatting>
  <conditionalFormatting sqref="E197:G197">
    <cfRule type="expression" dxfId="17" priority="16">
      <formula>IF(N("Si Downgrade prix=0 else Prix")+OR( IF(N("Si on downgrade model")+SEEDLE_IndexModelSoftware&lt;SEEDLE_IndexModelClient,1,0), IF(N("Si on downgrade de 64bits à 32bits")+AND(SEEDLE_IndexClientVersion&gt;SEEDLE_UpgradeNModels,SEEDLE_IndexSoftware&lt;=SEEDLE_UpgradeNModels),1,0) ),1,0)</formula>
    </cfRule>
  </conditionalFormatting>
  <conditionalFormatting sqref="E197">
    <cfRule type="expression" dxfId="16" priority="17">
      <formula>OR(IndexZone=5)</formula>
    </cfRule>
    <cfRule type="expression" dxfId="15" priority="18">
      <formula>OR(IndexZone=3, IndexZone=8, IndexZone=10)</formula>
    </cfRule>
  </conditionalFormatting>
  <conditionalFormatting sqref="E198:G198">
    <cfRule type="expression" dxfId="14" priority="13">
      <formula>IF(N("Si Downgrade prix=0 else Prix")+OR( IF(N("Si on downgrade model")+FOLIA_IndexModelSoftware&lt;FOLIA_IndexModelClient,1,0), IF(N("Si on downgrade de 64bits à 32bits")+AND(FOLIA_IndexClientVersion&gt;FOLIA_UpgradeNModels,FOLIA_IndexSoftware&lt;=FOLIA_UpgradeNModels),1,0) ),1,0)</formula>
    </cfRule>
  </conditionalFormatting>
  <conditionalFormatting sqref="E198">
    <cfRule type="expression" dxfId="13" priority="14">
      <formula>OR(IndexZone=5)</formula>
    </cfRule>
    <cfRule type="expression" dxfId="12" priority="15">
      <formula>OR(IndexZone=3, IndexZone=8, IndexZone=10)</formula>
    </cfRule>
  </conditionalFormatting>
  <conditionalFormatting sqref="E199:G199">
    <cfRule type="expression" dxfId="11" priority="10">
      <formula>IF(N("Si Downgrade prix=0 else Prix")+OR( IF(N("Si on downgrade model")+CAM_IndexModelSoftware&lt;CAM_IndexModelClient,1,0), IF(N("Si on downgrade de 64bits à 32bits")+AND(CAM_IndexClientVersion&gt;CAM_UpgradeNModels,CAM_IndexSoftware&lt;=CAM_UpgradeNModels),1,0) ),1,0)</formula>
    </cfRule>
  </conditionalFormatting>
  <conditionalFormatting sqref="E199">
    <cfRule type="expression" dxfId="10" priority="11">
      <formula>OR(IndexZone=5)</formula>
    </cfRule>
    <cfRule type="expression" dxfId="9" priority="12">
      <formula>OR(IndexZone=3, IndexZone=8, IndexZone=10)</formula>
    </cfRule>
  </conditionalFormatting>
  <conditionalFormatting sqref="E200:G200">
    <cfRule type="expression" dxfId="8" priority="9">
      <formula>IF(N("Si Downgrade prix=0 else Prix")+OR( IF(N("Si on downgrade model")+DENDRO_IndexModelSoftware&lt;DENDRO_IndexModelClient,1,0), IF(N("Si on downgrade de 64bits à 32bits")+AND(DENDRO_IndexClientVersion&gt;DENDRO_UpgradeNModels,DENDRO_IndexSoftware&lt;=DENDRO_UpgradeNModels),1,0) ),1,0)</formula>
    </cfRule>
  </conditionalFormatting>
  <conditionalFormatting sqref="E200">
    <cfRule type="expression" dxfId="7" priority="7">
      <formula>OR(IndexZone=5)</formula>
    </cfRule>
    <cfRule type="expression" dxfId="6" priority="8">
      <formula>OR(IndexZone=3, IndexZone=8, IndexZone=10)</formula>
    </cfRule>
  </conditionalFormatting>
  <conditionalFormatting sqref="E201:G201">
    <cfRule type="expression" dxfId="5" priority="4">
      <formula>IF(N("Si Downgrade prix=0 else Prix")+OR( IF(N("Si on downgrade model")+CELL_IndexModelSoftware&lt;CELL_IndexModelClient,1,0), IF(N("Si on downgrade de 64bits à 32bits")+AND(CELL_IndexClientVersion&gt;CELL_UpgradeNModels,CELL_IndexSoftware&lt;=CELL_UpgradeNModels),1,0) ),1,0)</formula>
    </cfRule>
  </conditionalFormatting>
  <conditionalFormatting sqref="E201">
    <cfRule type="expression" dxfId="4" priority="5">
      <formula>OR(IndexZone=5)</formula>
    </cfRule>
    <cfRule type="expression" dxfId="3" priority="6">
      <formula>OR(IndexZone=3, IndexZone=8, IndexZone=10)</formula>
    </cfRule>
  </conditionalFormatting>
  <conditionalFormatting sqref="E202:G202">
    <cfRule type="expression" dxfId="2" priority="1">
      <formula>IF(N("Si Downgrade prix=0 else Prix")+OR( IF(N("Si on downgrade model")+SCANOPY_IndexModelSoftware&lt;SCANOPY_IndexModelClient,1,0), IF(N("Si on downgrade de 64bits à 32bits")+AND(SCANOPY_IndexClientVersion&gt;SCANOPY_UpgradeNModels,SCANOPY_IndexSoftware&lt;=SCANOPY_UpgradeNModels),1,0) ),1,0)</formula>
    </cfRule>
  </conditionalFormatting>
  <conditionalFormatting sqref="E202">
    <cfRule type="expression" dxfId="1" priority="2">
      <formula>OR(IndexZone=5)</formula>
    </cfRule>
    <cfRule type="expression" dxfId="0" priority="3">
      <formula>OR(IndexZone=3, IndexZone=8, IndexZone=10)</formula>
    </cfRule>
  </conditionalFormatting>
  <pageMargins left="0.7" right="0.7" top="0.75" bottom="0.75" header="0.3" footer="0.3"/>
  <pageSetup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48482" r:id="rId4" name="Check Box Francais">
              <controlPr defaultSize="0" autoFill="0" autoLine="0" autoPict="0" macro="[0]!FrenchToggle">
                <anchor moveWithCells="1" sizeWithCells="1">
                  <from>
                    <xdr:col>8</xdr:col>
                    <xdr:colOff>2273300</xdr:colOff>
                    <xdr:row>0</xdr:row>
                    <xdr:rowOff>25400</xdr:rowOff>
                  </from>
                  <to>
                    <xdr:col>8</xdr:col>
                    <xdr:colOff>4483100</xdr:colOff>
                    <xdr:row>0</xdr:row>
                    <xdr:rowOff>165100</xdr:rowOff>
                  </to>
                </anchor>
              </controlPr>
            </control>
          </mc:Choice>
        </mc:AlternateContent>
        <mc:AlternateContent xmlns:mc="http://schemas.openxmlformats.org/markup-compatibility/2006">
          <mc:Choice Requires="x14">
            <control shapeId="148483" r:id="rId5" name="Check Box Distributeurs">
              <controlPr defaultSize="0" autoFill="0" autoLine="0" autoPict="0" macro="[0]!CheckBoxDistributeurs_Click">
                <anchor moveWithCells="1" sizeWithCells="1">
                  <from>
                    <xdr:col>8</xdr:col>
                    <xdr:colOff>4368800</xdr:colOff>
                    <xdr:row>0</xdr:row>
                    <xdr:rowOff>0</xdr:rowOff>
                  </from>
                  <to>
                    <xdr:col>8</xdr:col>
                    <xdr:colOff>6197600</xdr:colOff>
                    <xdr:row>0</xdr:row>
                    <xdr:rowOff>190500</xdr:rowOff>
                  </to>
                </anchor>
              </controlPr>
            </control>
          </mc:Choice>
        </mc:AlternateContent>
        <mc:AlternateContent xmlns:mc="http://schemas.openxmlformats.org/markup-compatibility/2006">
          <mc:Choice Requires="x14">
            <control shapeId="148484" r:id="rId6" name="CheckboxSoftwareHardware">
              <controlPr defaultSize="0" autoFill="0" autoLine="0" autoPict="0" altText="Detailed Prices">
                <anchor moveWithCells="1">
                  <from>
                    <xdr:col>8</xdr:col>
                    <xdr:colOff>38100</xdr:colOff>
                    <xdr:row>0</xdr:row>
                    <xdr:rowOff>25400</xdr:rowOff>
                  </from>
                  <to>
                    <xdr:col>8</xdr:col>
                    <xdr:colOff>1155700</xdr:colOff>
                    <xdr:row>1</xdr:row>
                    <xdr:rowOff>12700</xdr:rowOff>
                  </to>
                </anchor>
              </controlPr>
            </control>
          </mc:Choice>
        </mc:AlternateContent>
        <mc:AlternateContent xmlns:mc="http://schemas.openxmlformats.org/markup-compatibility/2006">
          <mc:Choice Requires="x14">
            <control shapeId="148486" r:id="rId7" name="CheckBoxInternetDownload">
              <controlPr defaultSize="0" print="0" autoFill="0" autoLine="0" autoPict="0" altText="Detailed Prices">
                <anchor moveWithCells="1">
                  <from>
                    <xdr:col>8</xdr:col>
                    <xdr:colOff>5689600</xdr:colOff>
                    <xdr:row>0</xdr:row>
                    <xdr:rowOff>0</xdr:rowOff>
                  </from>
                  <to>
                    <xdr:col>8</xdr:col>
                    <xdr:colOff>6692900</xdr:colOff>
                    <xdr:row>0</xdr:row>
                    <xdr:rowOff>190500</xdr:rowOff>
                  </to>
                </anchor>
              </controlPr>
            </control>
          </mc:Choice>
        </mc:AlternateContent>
        <mc:AlternateContent xmlns:mc="http://schemas.openxmlformats.org/markup-compatibility/2006">
          <mc:Choice Requires="x14">
            <control shapeId="148485" r:id="rId8" name="Check Box 5">
              <controlPr defaultSize="0" autoFill="0" autoLine="0" autoPict="0" altText="Detailed Prices">
                <anchor moveWithCells="1">
                  <from>
                    <xdr:col>8</xdr:col>
                    <xdr:colOff>38100</xdr:colOff>
                    <xdr:row>168</xdr:row>
                    <xdr:rowOff>25400</xdr:rowOff>
                  </from>
                  <to>
                    <xdr:col>8</xdr:col>
                    <xdr:colOff>1168400</xdr:colOff>
                    <xdr:row>169</xdr:row>
                    <xdr:rowOff>25400</xdr:rowOff>
                  </to>
                </anchor>
              </controlPr>
            </control>
          </mc:Choice>
        </mc:AlternateContent>
      </controls>
    </mc:Choice>
  </mc:AlternateContent>
  <tableParts count="3">
    <tablePart r:id="rId9"/>
    <tablePart r:id="rId10"/>
    <tablePart r:id="rId11"/>
  </tablePar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theme="0"/>
    <pageSetUpPr fitToPage="1"/>
  </sheetPr>
  <dimension ref="A1:J144"/>
  <sheetViews>
    <sheetView showGridLines="0" zoomScaleNormal="100" workbookViewId="0"/>
  </sheetViews>
  <sheetFormatPr baseColWidth="10" defaultColWidth="0" defaultRowHeight="16" x14ac:dyDescent="0.2"/>
  <cols>
    <col min="1" max="1" width="2.6640625" customWidth="1"/>
    <col min="2" max="2" width="77.1640625" bestFit="1" customWidth="1"/>
    <col min="3" max="3" width="13.5" bestFit="1" customWidth="1"/>
    <col min="4" max="4" width="54.33203125" customWidth="1"/>
    <col min="5" max="6" width="9" customWidth="1"/>
    <col min="7" max="7" width="9" hidden="1" customWidth="1"/>
    <col min="8" max="8" width="10.1640625" hidden="1" customWidth="1"/>
    <col min="9" max="9" width="9" hidden="1"/>
    <col min="10" max="10" width="10.1640625" hidden="1"/>
    <col min="11" max="16384" width="9" hidden="1"/>
  </cols>
  <sheetData>
    <row r="1" spans="1:4" ht="15.5" customHeight="1" x14ac:dyDescent="0.2">
      <c r="B1" s="40" t="s">
        <v>797</v>
      </c>
      <c r="C1" s="17" t="str">
        <f>IF(ShowStaticListPrice,IF(Francais,"Prix Liste (","List Price (") &amp; "USD" &amp; ")","")</f>
        <v>Prix Liste (USD)</v>
      </c>
      <c r="D1" s="323"/>
    </row>
    <row r="2" spans="1:4" ht="15.5" customHeight="1" x14ac:dyDescent="0.2">
      <c r="B2" s="937">
        <v>46119</v>
      </c>
      <c r="C2" s="17"/>
      <c r="D2" s="323"/>
    </row>
    <row r="3" spans="1:4" ht="15.5" customHeight="1" x14ac:dyDescent="0.2">
      <c r="A3" s="133"/>
      <c r="B3" s="133"/>
      <c r="C3" s="133"/>
    </row>
    <row r="4" spans="1:4" ht="15.5" customHeight="1" x14ac:dyDescent="0.2">
      <c r="A4" s="133"/>
      <c r="B4" t="s">
        <v>192</v>
      </c>
      <c r="C4" s="324">
        <f>IF(ShowStaticListPrice,IF(ShowStaticListPrice,Calc!A36,""),"")</f>
        <v>1501</v>
      </c>
    </row>
    <row r="5" spans="1:4" ht="15.5" customHeight="1" x14ac:dyDescent="0.2">
      <c r="A5" s="133"/>
      <c r="B5" t="s">
        <v>193</v>
      </c>
      <c r="C5" s="324">
        <f>IF(ShowStaticListPrice,Calc!A37,"")</f>
        <v>3650</v>
      </c>
    </row>
    <row r="6" spans="1:4" ht="15.5" customHeight="1" x14ac:dyDescent="0.2">
      <c r="A6" s="133"/>
      <c r="B6" t="s">
        <v>194</v>
      </c>
      <c r="C6" s="324">
        <f>IF(ShowStaticListPrice,Calc!A38,"")</f>
        <v>5807</v>
      </c>
    </row>
    <row r="7" spans="1:4" ht="15.5" customHeight="1" x14ac:dyDescent="0.2">
      <c r="A7" s="133"/>
      <c r="B7" t="s">
        <v>798</v>
      </c>
      <c r="C7" s="324">
        <f>IF(AND(ShowStaticListPrice,Checkbox_WithScan),
N("PrixSoftware")+INDEX(C$4:C$6,MATCH(LEFT($B7,FIND(" ",$B7,FIND(" ",$B7)+1))&amp;"*",$B$4:$B$6,0))+
IF(ISNUMBER(SEARCH("STD4800",$B7)),IF(COLUMN(A$1)=1,PrixSTD,PrixSTD_Dist),0)+
IF(ISNUMBER(SEARCH("LA2400",$B7)),IF(COLUMN(A$1)=1,PrixLA,PrixLA_Dist),0)+
IF(ISNUMBER(SEARCH(IF(Francais,"et LS","and SLS"),$B7)),IF(COLUMN(A$1)=1,PrixTPU,PrixTPU_Dist),0)+
IF(ISNUMBER(SEARCH(IF(Francais,"sans Scanner","Without Scanner"),$B7)),STD_GenCalib_Drivers_Instr_Techsup*(1-RebateHardware*0),0),
"")</f>
        <v>3260</v>
      </c>
      <c r="D7" s="348"/>
    </row>
    <row r="8" spans="1:4" ht="15.5" customHeight="1" x14ac:dyDescent="0.2">
      <c r="A8" s="133"/>
      <c r="B8" t="s">
        <v>799</v>
      </c>
      <c r="C8" s="324">
        <f>IF(AND(ShowStaticListPrice,Checkbox_WithScan),
N("PrixSoftware")+INDEX(C$4:C$6,MATCH(LEFT($B8,FIND(" ",$B8,FIND(" ",$B8)+1))&amp;"*",$B$4:$B$6,0))+
IF(ISNUMBER(SEARCH("STD4800",$B8)),IF(COLUMN(A$1)=1,PrixSTD,PrixSTD_Dist),0)+
IF(ISNUMBER(SEARCH("LA2400",$B8)),IF(COLUMN(A$1)=1,PrixLA,PrixLA_Dist),0)+
IF(ISNUMBER(SEARCH(IF(Francais,"et LS","and SLS"),$B8)),IF(COLUMN(A$1)=1,PrixTPU,PrixTPU_Dist),0)+
IF(ISNUMBER(SEARCH(IF(Francais,"sans Scanner","Without Scanner"),$B8)),STD_GenCalib_Drivers_Instr_Techsup*(1-RebateHardware*0),0),
"")</f>
        <v>6446</v>
      </c>
    </row>
    <row r="9" spans="1:4" ht="15.5" customHeight="1" x14ac:dyDescent="0.2">
      <c r="A9" s="133"/>
      <c r="B9" t="s">
        <v>800</v>
      </c>
      <c r="C9" s="324">
        <f>IF(AND(ShowStaticListPrice,Checkbox_WithScan),
N("PrixSoftware")+INDEX(C$4:C$6,MATCH(LEFT($B9,FIND(" ",$B9,FIND(" ",$B9)+1))&amp;"*",$B$4:$B$6,0))+
IF(ISNUMBER(SEARCH("STD4800",$B9)),IF(COLUMN(A$1)=1,PrixSTD,PrixSTD_Dist),0)+
IF(ISNUMBER(SEARCH("LA2400",$B9)),IF(COLUMN(A$1)=1,PrixLA,PrixLA_Dist),0)+
IF(ISNUMBER(SEARCH(IF(Francais,"et LS","and SLS"),$B9)),IF(COLUMN(A$1)=1,PrixTPU,PrixTPU_Dist),0)+
IF(ISNUMBER(SEARCH(IF(Francais,"sans Scanner","Without Scanner"),$B9)),STD_GenCalib_Drivers_Instr_Techsup*(1-RebateHardware*0),0),
"")</f>
        <v>7269</v>
      </c>
    </row>
    <row r="10" spans="1:4" ht="15.5" customHeight="1" x14ac:dyDescent="0.2">
      <c r="A10" s="133"/>
      <c r="B10" t="s">
        <v>801</v>
      </c>
      <c r="C10" s="324">
        <f>IF(AND(ShowStaticListPrice,Checkbox_SansScanner),
N("PrixSoftware")+INDEX(C$4:C$6,MATCH(LEFT($B10,FIND(" ",$B10,FIND(" ",$B10)+1))&amp;"*",$B$4:$B$6,0))+
IF(ISNUMBER(SEARCH("STD4800",$B10)),IF(COLUMN(A$1)=1,PrixSTD,PrixSTD_Dist),0)+
IF(ISNUMBER(SEARCH("LA2400",$B10)),IF(COLUMN(A$1)=1,PrixLA,PrixLA_Dist),0)+
IF(ISNUMBER(SEARCH(IF(Francais,"et LS","and SLS"),$B10)),IF(COLUMN(A$1)=1,PrixTPU,PrixTPU_Dist),0)+
IF(ISNUMBER(SEARCH(IF(Francais,"sans Scanner","Without Scanner"),$B10)),STD_GenCalib_Drivers_Instr_Techsup*(1-RebateHardware*0),0),
"")</f>
        <v>1659</v>
      </c>
    </row>
    <row r="11" spans="1:4" ht="15.5" customHeight="1" x14ac:dyDescent="0.2">
      <c r="A11" s="133"/>
      <c r="B11" t="s">
        <v>802</v>
      </c>
      <c r="C11" s="324">
        <f>IF(AND(ShowStaticListPrice,Checkbox_WithScan),
N("PrixSoftware")+INDEX(C$4:C$6,MATCH(LEFT($B11,FIND(" ",$B11,FIND(" ",$B11)+1))&amp;"*",$B$4:$B$6,0))+
IF(ISNUMBER(SEARCH("STD4800",$B11)),IF(COLUMN(A$1)=1,PrixSTD,PrixSTD_Dist),0)+
IF(ISNUMBER(SEARCH("LA2400",$B11)),IF(COLUMN(A$1)=1,PrixLA,PrixLA_Dist),0)+
IF(ISNUMBER(SEARCH(IF(Francais,"et LS","and SLS"),$B11)),IF(COLUMN(A$1)=1,PrixTPU,PrixTPU_Dist),0)+
IF(ISNUMBER(SEARCH(IF(Francais,"sans Scanner","Without Scanner"),$B11)),STD_GenCalib_Drivers_Instr_Techsup*(1-RebateHardware*0),0),
"")</f>
        <v>5409</v>
      </c>
    </row>
    <row r="12" spans="1:4" ht="15.5" customHeight="1" x14ac:dyDescent="0.2">
      <c r="A12" s="133"/>
      <c r="B12" t="s">
        <v>803</v>
      </c>
      <c r="C12" s="324">
        <f>IF(AND(ShowStaticListPrice,Checkbox_WithScan),
N("PrixSoftware")+INDEX(C$4:C$6,MATCH(LEFT($B12,FIND(" ",$B12,FIND(" ",$B12)+1))&amp;"*",$B$4:$B$6,0))+
IF(ISNUMBER(SEARCH("STD4800",$B12)),IF(COLUMN(A$1)=1,PrixSTD,PrixSTD_Dist),0)+
IF(ISNUMBER(SEARCH("LA2400",$B12)),IF(COLUMN(A$1)=1,PrixLA,PrixLA_Dist),0)+
IF(ISNUMBER(SEARCH(IF(Francais,"et LS","and SLS"),$B12)),IF(COLUMN(A$1)=1,PrixTPU,PrixTPU_Dist),0)+
IF(ISNUMBER(SEARCH(IF(Francais,"sans Scanner","Without Scanner"),$B12)),STD_GenCalib_Drivers_Instr_Techsup*(1-RebateHardware*0),0),
"")</f>
        <v>8595</v>
      </c>
    </row>
    <row r="13" spans="1:4" ht="15.5" customHeight="1" x14ac:dyDescent="0.2">
      <c r="A13" s="133"/>
      <c r="B13" t="s">
        <v>804</v>
      </c>
      <c r="C13" s="324">
        <f>IF(AND(ShowStaticListPrice,Checkbox_WithScan),
N("PrixSoftware")+INDEX(C$4:C$6,MATCH(LEFT($B13,FIND(" ",$B13,FIND(" ",$B13)+1))&amp;"*",$B$4:$B$6,0))+
IF(ISNUMBER(SEARCH("STD4800",$B13)),IF(COLUMN(A$1)=1,PrixSTD,PrixSTD_Dist),0)+
IF(ISNUMBER(SEARCH("LA2400",$B13)),IF(COLUMN(A$1)=1,PrixLA,PrixLA_Dist),0)+
IF(ISNUMBER(SEARCH(IF(Francais,"et LS","and SLS"),$B13)),IF(COLUMN(A$1)=1,PrixTPU,PrixTPU_Dist),0)+
IF(ISNUMBER(SEARCH(IF(Francais,"sans Scanner","Without Scanner"),$B13)),STD_GenCalib_Drivers_Instr_Techsup*(1-RebateHardware*0),0),
"")</f>
        <v>9418</v>
      </c>
      <c r="D13" s="338"/>
    </row>
    <row r="14" spans="1:4" ht="15.5" customHeight="1" x14ac:dyDescent="0.2">
      <c r="A14" s="133"/>
      <c r="B14" t="s">
        <v>805</v>
      </c>
      <c r="C14" s="324">
        <f>IF(AND(ShowStaticListPrice,Checkbox_SansScanner),
N("PrixSoftware")+INDEX(C$4:C$6,MATCH(LEFT($B14,FIND(" ",$B14,FIND(" ",$B14)+1))&amp;"*",$B$4:$B$6,0))+
IF(ISNUMBER(SEARCH("STD4800",$B14)),IF(COLUMN(A$1)=1,PrixSTD,PrixSTD_Dist),0)+
IF(ISNUMBER(SEARCH("LA2400",$B14)),IF(COLUMN(A$1)=1,PrixLA,PrixLA_Dist),0)+
IF(ISNUMBER(SEARCH(IF(Francais,"et LS","and SLS"),$B14)),IF(COLUMN(A$1)=1,PrixTPU,PrixTPU_Dist),0)+
IF(ISNUMBER(SEARCH(IF(Francais,"sans Scanner","Without Scanner"),$B14)),STD_GenCalib_Drivers_Instr_Techsup*(1-RebateHardware*0),0),
"")</f>
        <v>3808</v>
      </c>
    </row>
    <row r="15" spans="1:4" ht="15.5" customHeight="1" x14ac:dyDescent="0.2">
      <c r="A15" s="133"/>
      <c r="B15" t="s">
        <v>806</v>
      </c>
      <c r="C15" s="324">
        <f>IF(AND(ShowStaticListPrice,Checkbox_WithScan),
N("PrixSoftware")+INDEX(C$4:C$6,MATCH(LEFT($B15,FIND(" ",$B15,FIND(" ",$B15)+1))&amp;"*",$B$4:$B$6,0))+
IF(ISNUMBER(SEARCH("STD4800",$B15)),IF(COLUMN(A$1)=1,PrixSTD,PrixSTD_Dist),0)+
IF(ISNUMBER(SEARCH("LA2400",$B15)),IF(COLUMN(A$1)=1,PrixLA,PrixLA_Dist),0)+
IF(ISNUMBER(SEARCH(IF(Francais,"et LS","and SLS"),$B15)),IF(COLUMN(A$1)=1,PrixTPU,PrixTPU_Dist),0)+
IF(ISNUMBER(SEARCH(IF(Francais,"sans Scanner","Without Scanner"),$B15)),STD_GenCalib_Drivers_Instr_Techsup*(1-RebateHardware*0),0),
"")</f>
        <v>7566</v>
      </c>
    </row>
    <row r="16" spans="1:4" ht="15.5" customHeight="1" x14ac:dyDescent="0.2">
      <c r="A16" s="133"/>
      <c r="B16" t="s">
        <v>807</v>
      </c>
      <c r="C16" s="324">
        <f>IF(AND(ShowStaticListPrice,Checkbox_WithScan),
N("PrixSoftware")+INDEX(C$4:C$6,MATCH(LEFT($B16,FIND(" ",$B16,FIND(" ",$B16)+1))&amp;"*",$B$4:$B$6,0))+
IF(ISNUMBER(SEARCH("STD4800",$B16)),IF(COLUMN(A$1)=1,PrixSTD,PrixSTD_Dist),0)+
IF(ISNUMBER(SEARCH("LA2400",$B16)),IF(COLUMN(A$1)=1,PrixLA,PrixLA_Dist),0)+
IF(ISNUMBER(SEARCH(IF(Francais,"et LS","and SLS"),$B16)),IF(COLUMN(A$1)=1,PrixTPU,PrixTPU_Dist),0)+
IF(ISNUMBER(SEARCH(IF(Francais,"sans Scanner","Without Scanner"),$B16)),STD_GenCalib_Drivers_Instr_Techsup*(1-RebateHardware*0),0),
"")</f>
        <v>10752</v>
      </c>
    </row>
    <row r="17" spans="1:8" ht="15.5" customHeight="1" x14ac:dyDescent="0.2">
      <c r="A17" s="133"/>
      <c r="B17" t="s">
        <v>808</v>
      </c>
      <c r="C17" s="324">
        <f>IF(AND(ShowStaticListPrice,Checkbox_WithScan),
N("PrixSoftware")+INDEX(C$4:C$6,MATCH(LEFT($B17,FIND(" ",$B17,FIND(" ",$B17)+1))&amp;"*",$B$4:$B$6,0))+
IF(ISNUMBER(SEARCH("STD4800",$B17)),IF(COLUMN(A$1)=1,PrixSTD,PrixSTD_Dist),0)+
IF(ISNUMBER(SEARCH("LA2400",$B17)),IF(COLUMN(A$1)=1,PrixLA,PrixLA_Dist),0)+
IF(ISNUMBER(SEARCH(IF(Francais,"et LS","and SLS"),$B17)),IF(COLUMN(A$1)=1,PrixTPU,PrixTPU_Dist),0)+
IF(ISNUMBER(SEARCH(IF(Francais,"sans Scanner","Without Scanner"),$B17)),STD_GenCalib_Drivers_Instr_Techsup*(1-RebateHardware*0),0),
"")</f>
        <v>11575</v>
      </c>
    </row>
    <row r="18" spans="1:8" ht="15.5" customHeight="1" x14ac:dyDescent="0.2">
      <c r="A18" s="133"/>
      <c r="B18" t="s">
        <v>809</v>
      </c>
      <c r="C18" s="324">
        <f>IF(AND(ShowStaticListPrice,Checkbox_SansScanner),
N("PrixSoftware")+INDEX(C$4:C$6,MATCH(LEFT($B18,FIND(" ",$B18,FIND(" ",$B18)+1))&amp;"*",$B$4:$B$6,0))+
IF(ISNUMBER(SEARCH("STD4800",$B18)),IF(COLUMN(A$1)=1,PrixSTD,PrixSTD_Dist),0)+
IF(ISNUMBER(SEARCH("LA2400",$B18)),IF(COLUMN(A$1)=1,PrixLA,PrixLA_Dist),0)+
IF(ISNUMBER(SEARCH(IF(Francais,"et LS","and SLS"),$B18)),IF(COLUMN(A$1)=1,PrixTPU,PrixTPU_Dist),0)+
IF(ISNUMBER(SEARCH(IF(Francais,"sans Scanner","Without Scanner"),$B18)),STD_GenCalib_Drivers_Instr_Techsup*(1-RebateHardware*0),0),
"")</f>
        <v>5965</v>
      </c>
      <c r="D18" s="338"/>
    </row>
    <row r="19" spans="1:8" ht="15.5" customHeight="1" x14ac:dyDescent="0.2">
      <c r="A19" s="133"/>
      <c r="B19" s="40" t="s">
        <v>810</v>
      </c>
      <c r="C19" s="324"/>
      <c r="D19" s="338"/>
      <c r="H19" s="341"/>
    </row>
    <row r="20" spans="1:8" ht="15.5" customHeight="1" x14ac:dyDescent="0.2">
      <c r="A20" s="133"/>
      <c r="B20" t="s">
        <v>811</v>
      </c>
      <c r="C20" s="324">
        <f>IF(ShowStaticListPrice,PrixTarget,"")</f>
        <v>786</v>
      </c>
      <c r="D20" s="338" t="str">
        <f>IF(NOT(QUOTE_DistDisableSameClient),IF(Francais,"Obtenez un rabais* de 20% en commandant un deuxième produit.","Get a 20% discount* when ordering a second product."),"")</f>
        <v>Obtenez un rabais* de 20% en commandant un deuxième produit.</v>
      </c>
      <c r="H20" s="341"/>
    </row>
    <row r="21" spans="1:8" ht="15.5" customHeight="1" x14ac:dyDescent="0.2">
      <c r="A21" s="133"/>
      <c r="B21" t="s">
        <v>812</v>
      </c>
      <c r="C21" s="324">
        <f>IF(ShowStaticListPrice,PrixCoreHolder22,"")</f>
        <v>174</v>
      </c>
      <c r="D21" s="338"/>
    </row>
    <row r="22" spans="1:8" ht="15.5" customHeight="1" x14ac:dyDescent="0.2">
      <c r="A22" s="133"/>
      <c r="B22" t="s">
        <v>813</v>
      </c>
      <c r="C22" s="324">
        <f>IF(ShowStaticListPrice,PrixCoreHolder36,"")</f>
        <v>233</v>
      </c>
      <c r="D22" s="338" t="str">
        <f>IF(NOT(QUOTE_DistDisableSameClient),IF(Francais,"Obtenez un rabais* de 40% en commandant un troisième produit.","Get a 40% discount* when ordering a thrid product."),"")</f>
        <v>Obtenez un rabais* de 40% en commandant un troisième produit.</v>
      </c>
    </row>
    <row r="23" spans="1:8" ht="15.5" customHeight="1" x14ac:dyDescent="0.2">
      <c r="A23" s="133"/>
      <c r="B23" t="s">
        <v>814</v>
      </c>
      <c r="C23" s="324">
        <f>IF(ShowStaticListPrice,PrixCorePosiLA,"")</f>
        <v>95</v>
      </c>
      <c r="D23" s="338"/>
    </row>
    <row r="24" spans="1:8" ht="15.5" customHeight="1" x14ac:dyDescent="0.2">
      <c r="A24" s="133"/>
      <c r="B24" t="s">
        <v>815</v>
      </c>
      <c r="C24" s="324">
        <f>IF(ShowStaticListPrice,PrixCorePosiSTD,"")</f>
        <v>40</v>
      </c>
      <c r="D24" s="3" t="str">
        <f>IF(NOT(QUOTE_DistDisableSameClient),IF(Francais,"Obtenez un rabais* de 60% en commandant un quatrième produit (ou plus).","Get a 60% discount* when ordering a fourth (and more) product(s)."), "")</f>
        <v>Obtenez un rabais* de 60% en commandant un quatrième produit (ou plus).</v>
      </c>
    </row>
    <row r="25" spans="1:8" ht="15.5" customHeight="1" x14ac:dyDescent="0.2">
      <c r="A25" s="140"/>
      <c r="B25" s="140"/>
      <c r="C25" s="325"/>
    </row>
    <row r="26" spans="1:8" ht="15.5" customHeight="1" x14ac:dyDescent="0.2">
      <c r="A26" s="140"/>
      <c r="B26" t="s">
        <v>366</v>
      </c>
      <c r="C26" s="324">
        <f>IF(ShowStaticListPrice,Calc!A39,"")</f>
        <v>1452</v>
      </c>
      <c r="D26" s="338" t="str">
        <f>IF(NOT(QUOTE_DistDisableSameClient),IF(Francais,"Les rabais ne s'appliquent qu'aux logiciels (pas au matériel).","Discounts apply on software only (not hardware)."),"")</f>
        <v>Les rabais ne s'appliquent qu'aux logiciels (pas au matériel).</v>
      </c>
    </row>
    <row r="27" spans="1:8" ht="15.5" customHeight="1" x14ac:dyDescent="0.2">
      <c r="A27" s="140"/>
      <c r="B27" t="s">
        <v>367</v>
      </c>
      <c r="C27" s="324">
        <f>IF(ShowStaticListPrice,Calc!A40,"")</f>
        <v>2634</v>
      </c>
      <c r="D27" s="338" t="str">
        <f>IF(Francais,"Le matériel peut être partagé entre différents logiciels.", "Hardware can be shared among different software programs.")</f>
        <v>Le matériel peut être partagé entre différents logiciels.</v>
      </c>
    </row>
    <row r="28" spans="1:8" ht="15.5" customHeight="1" x14ac:dyDescent="0.2">
      <c r="A28" s="140"/>
      <c r="B28" t="s">
        <v>195</v>
      </c>
      <c r="C28" s="324">
        <f>IF(ShowStaticListPrice,Calc!A41,"")</f>
        <v>4145</v>
      </c>
    </row>
    <row r="29" spans="1:8" ht="15.5" customHeight="1" x14ac:dyDescent="0.2">
      <c r="A29" s="151"/>
      <c r="B29" s="151"/>
      <c r="C29" s="326"/>
    </row>
    <row r="30" spans="1:8" ht="15.5" customHeight="1" x14ac:dyDescent="0.2">
      <c r="A30" s="151"/>
      <c r="B30" t="s">
        <v>196</v>
      </c>
      <c r="C30" s="324">
        <f>IF(ShowStaticListPrice,Calc!A42,"")</f>
        <v>1493</v>
      </c>
    </row>
    <row r="31" spans="1:8" ht="15.5" customHeight="1" x14ac:dyDescent="0.2">
      <c r="A31" s="151"/>
      <c r="B31" t="s">
        <v>197</v>
      </c>
      <c r="C31" s="324">
        <f>IF(ShowStaticListPrice,Calc!A43,"")</f>
        <v>3612</v>
      </c>
    </row>
    <row r="32" spans="1:8" ht="15.5" customHeight="1" x14ac:dyDescent="0.2">
      <c r="A32" s="151"/>
      <c r="B32" t="s">
        <v>198</v>
      </c>
      <c r="C32" s="324">
        <f>IF(ShowStaticListPrice,Calc!A44,"")</f>
        <v>5805</v>
      </c>
    </row>
    <row r="33" spans="1:4" ht="15.5" customHeight="1" x14ac:dyDescent="0.2">
      <c r="A33" s="151"/>
      <c r="B33" t="s">
        <v>199</v>
      </c>
      <c r="C33" s="324">
        <f>IF(ShowStaticListPrice,Calc!A45,"")</f>
        <v>7231</v>
      </c>
    </row>
    <row r="34" spans="1:4" ht="15.5" customHeight="1" x14ac:dyDescent="0.2">
      <c r="A34" s="151"/>
      <c r="B34" t="s">
        <v>816</v>
      </c>
      <c r="C34" s="324">
        <f>IF(AND(ShowStaticListPrice,Checkbox_WithScan),
N("PrixSoftware")+INDEX(C$30:C$33,MATCH(LEFT($B34,FIND(" ",$B34,FIND(" ",$B34)+1))&amp;"*",$B$30:$B$33,0))+
IF(ISNUMBER(SEARCH("STD4800",$B34)),IF(COLUMN(A$1)=1,PrixSTD+PrixRootPosiSTD,ROUND(PrixSTD_Dist+PrixRPosiSTD_Dist,0)),0)+
IF(ISNUMBER(SEARCH("LA2400",$B34)),IF(COLUMN(A$1)=1,PrixLA+PrixRootPosiLA,ROUND(PrixLA_Dist+PrixRPosiPLA_Dist,0)),0)+
IF(ISNUMBER(SEARCH(IF(Francais,"et LS","and SLS"),$B34)),IF(COLUMN(A$1)=1,PrixTPU,PrixTPU_Dist),0)+
IF(ISNUMBER(SEARCH(IF(Francais,"Sans Scanner (STD)","Without Scanner (STD)"),$B34)),IF(COLUMN(A$1)=1,(STD_GenCalib_Drivers_Instr_Techsup+PrixRootPosiSTD),ROUND((STD_GenCalib_Drivers_Instr_Techsup)*(1-RebateCalibScanner)+PrixRPosiSTD_Dist,0)),0)+
IF(ISNUMBER(SEARCH(IF(Francais,"Sans Scanner (LA)","Without Scanner (LA)"),$B34)),IF(COLUMN(A$1)=1,(LA_GenCalib_Drivers_Instr_Techsup+PrixRootPosiLA),ROUND((LA_GenCalib_Drivers_Instr_Techsup)*(1-RebateCalibScanner)+PrixRPosiPLA_Dist,0)),0),
"")</f>
        <v>3547</v>
      </c>
    </row>
    <row r="35" spans="1:4" ht="15.5" customHeight="1" x14ac:dyDescent="0.2">
      <c r="A35" s="151"/>
      <c r="B35" t="s">
        <v>817</v>
      </c>
      <c r="C35" s="324">
        <f>IF(AND(ShowStaticListPrice,Checkbox_WithScan),
N("PrixSoftware")+INDEX(C$30:C$33,MATCH(LEFT($B35,FIND(" ",$B35,FIND(" ",$B35)+1))&amp;"*",$B$30:$B$33,0))+
IF(ISNUMBER(SEARCH("STD4800",$B35)),IF(COLUMN(A$1)=1,PrixSTD+PrixRootPosiSTD,ROUND(PrixSTD_Dist+PrixRPosiSTD_Dist,0)),0)+
IF(ISNUMBER(SEARCH("LA2400",$B35)),IF(COLUMN(A$1)=1,PrixLA+PrixRootPosiLA,ROUND(PrixLA_Dist+PrixRPosiPLA_Dist,0)),0)+
IF(ISNUMBER(SEARCH(IF(Francais,"et LS","and SLS"),$B35)),IF(COLUMN(A$1)=1,PrixTPU,PrixTPU_Dist),0)+
IF(ISNUMBER(SEARCH(IF(Francais,"Sans Scanner (STD)","Without Scanner (STD)"),$B35)),IF(COLUMN(A$1)=1,(STD_GenCalib_Drivers_Instr_Techsup+PrixRootPosiSTD),ROUND((STD_GenCalib_Drivers_Instr_Techsup)*(1-RebateCalibScanner)+PrixRPosiSTD_Dist,0)),0)+
IF(ISNUMBER(SEARCH(IF(Francais,"Sans Scanner (LA)","Without Scanner (LA)"),$B35)),IF(COLUMN(A$1)=1,(LA_GenCalib_Drivers_Instr_Techsup+PrixRootPosiLA),ROUND((LA_GenCalib_Drivers_Instr_Techsup)*(1-RebateCalibScanner)+PrixRPosiPLA_Dist,0)),0),
"")</f>
        <v>7842</v>
      </c>
    </row>
    <row r="36" spans="1:4" ht="15.5" customHeight="1" x14ac:dyDescent="0.2">
      <c r="A36" s="151"/>
      <c r="B36" t="s">
        <v>818</v>
      </c>
      <c r="C36" s="324">
        <f>IF(AND(ShowStaticListPrice,Checkbox_SansScanner),
N("PrixSoftware")+INDEX(C$30:C$33,MATCH(LEFT($B36,FIND(" ",$B36,FIND(" ",$B36)+1))&amp;"*",$B$30:$B$33,0))+
IF(ISNUMBER(SEARCH("STD4800",$B36)),IF(COLUMN(A$1)=1,PrixSTD+PrixRootPosiSTD,ROUND(PrixSTD_Dist+PrixRPosiSTD_Dist,0)),0)+
IF(ISNUMBER(SEARCH("LA2400",$B36)),IF(COLUMN(A$1)=1,PrixLA+PrixRootPosiLA,ROUND(PrixLA_Dist+PrixRPosiPLA_Dist,0)),0)+
IF(ISNUMBER(SEARCH(IF(Francais,"et LS","and SLS"),$B36)),IF(COLUMN(A$1)=1,PrixTPU,PrixTPU_Dist),0)+
IF(ISNUMBER(SEARCH(IF(Francais,"Sans Scanner (STD)","Without Scanner (STD)"),$B36)),IF(COLUMN(A$1)=1,(STD_GenCalib_Drivers_Instr_Techsup+PrixRootPosiSTD),ROUND((STD_GenCalib_Drivers_Instr_Techsup)*(1-RebateCalibScanner)+PrixRPosiSTD_Dist,0)),0)+
IF(ISNUMBER(SEARCH(IF(Francais,"Sans Scanner (LA)","Without Scanner (LA)"),$B36)),IF(COLUMN(A$1)=1,(LA_GenCalib_Drivers_Instr_Techsup+PrixRootPosiLA),ROUND((LA_GenCalib_Drivers_Instr_Techsup)*(1-RebateCalibScanner)+PrixRPosiPLA_Dist,0)),0),
"")</f>
        <v>1946</v>
      </c>
    </row>
    <row r="37" spans="1:4" ht="15.5" customHeight="1" x14ac:dyDescent="0.2">
      <c r="A37" s="151"/>
      <c r="B37" t="s">
        <v>819</v>
      </c>
      <c r="C37" s="324">
        <f>IF(AND(ShowStaticListPrice,Checkbox_SansScanner),
N("PrixSoftware")+INDEX(C$30:C$33,MATCH(LEFT($B37,FIND(" ",$B37,FIND(" ",$B37)+1))&amp;"*",$B$30:$B$33,0))+
IF(ISNUMBER(SEARCH("STD4800",$B37)),IF(COLUMN(A$1)=1,PrixSTD+PrixRootPosiSTD,ROUND(PrixSTD_Dist+PrixRPosiSTD_Dist,0)),0)+
IF(ISNUMBER(SEARCH("LA2400",$B37)),IF(COLUMN(A$1)=1,PrixLA+PrixRootPosiLA,ROUND(PrixLA_Dist+PrixRPosiPLA_Dist,0)),0)+
IF(ISNUMBER(SEARCH(IF(Francais,"et LS","and SLS"),$B37)),IF(COLUMN(A$1)=1,PrixTPU,PrixTPU_Dist),0)+
IF(ISNUMBER(SEARCH(IF(Francais,"Sans Scanner (STD)","Without Scanner (STD)"),$B37)),IF(COLUMN(A$1)=1,(STD_GenCalib_Drivers_Instr_Techsup+PrixRootPosiSTD),ROUND((STD_GenCalib_Drivers_Instr_Techsup)*(1-RebateCalibScanner)+PrixRPosiSTD_Dist,0)),0)+
IF(ISNUMBER(SEARCH(IF(Francais,"Sans Scanner (LA)","Without Scanner (LA)"),$B37)),IF(COLUMN(A$1)=1,(LA_GenCalib_Drivers_Instr_Techsup+PrixRootPosiLA),ROUND((LA_GenCalib_Drivers_Instr_Techsup)*(1-RebateCalibScanner)+PrixRPosiPLA_Dist,0)),0),
"")</f>
        <v>2232</v>
      </c>
    </row>
    <row r="38" spans="1:4" ht="15.5" customHeight="1" x14ac:dyDescent="0.2">
      <c r="A38" s="151"/>
      <c r="B38" t="s">
        <v>820</v>
      </c>
      <c r="C38" s="324">
        <f>IF(AND(ShowStaticListPrice,Checkbox_WithScan),
N("PrixSoftware")+INDEX(C$30:C$33,MATCH(LEFT($B38,FIND(" ",$B38,FIND(" ",$B38)+1))&amp;"*",$B$30:$B$33,0))+
IF(ISNUMBER(SEARCH("STD4800",$B38)),IF(COLUMN(A$1)=1,PrixSTD+PrixRootPosiSTD,ROUND(PrixSTD_Dist+PrixRPosiSTD_Dist,0)),0)+
IF(ISNUMBER(SEARCH("LA2400",$B38)),IF(COLUMN(A$1)=1,PrixLA+PrixRootPosiLA,ROUND(PrixLA_Dist+PrixRPosiPLA_Dist,0)),0)+
IF(ISNUMBER(SEARCH(IF(Francais,"et LS","and SLS"),$B38)),IF(COLUMN(A$1)=1,PrixTPU,PrixTPU_Dist),0)+
IF(ISNUMBER(SEARCH(IF(Francais,"Sans Scanner (STD)","Without Scanner (STD)"),$B38)),IF(COLUMN(A$1)=1,(STD_GenCalib_Drivers_Instr_Techsup+PrixRootPosiSTD),ROUND((STD_GenCalib_Drivers_Instr_Techsup)*(1-RebateCalibScanner)+PrixRPosiSTD_Dist,0)),0)+
IF(ISNUMBER(SEARCH(IF(Francais,"Sans Scanner (LA)","Without Scanner (LA)"),$B38)),IF(COLUMN(A$1)=1,(LA_GenCalib_Drivers_Instr_Techsup+PrixRootPosiLA),ROUND((LA_GenCalib_Drivers_Instr_Techsup)*(1-RebateCalibScanner)+PrixRPosiPLA_Dist,0)),0),
"")</f>
        <v>5666</v>
      </c>
    </row>
    <row r="39" spans="1:4" ht="15.5" customHeight="1" x14ac:dyDescent="0.2">
      <c r="A39" s="151"/>
      <c r="B39" t="s">
        <v>821</v>
      </c>
      <c r="C39" s="324">
        <f>IF(AND(ShowStaticListPrice,Checkbox_WithScan),
N("PrixSoftware")+INDEX(C$30:C$33,MATCH(LEFT($B39,FIND(" ",$B39,FIND(" ",$B39)+1))&amp;"*",$B$30:$B$33,0))+
IF(ISNUMBER(SEARCH("STD4800",$B39)),IF(COLUMN(A$1)=1,PrixSTD+PrixRootPosiSTD,ROUND(PrixSTD_Dist+PrixRPosiSTD_Dist,0)),0)+
IF(ISNUMBER(SEARCH("LA2400",$B39)),IF(COLUMN(A$1)=1,PrixLA+PrixRootPosiLA,ROUND(PrixLA_Dist+PrixRPosiPLA_Dist,0)),0)+
IF(ISNUMBER(SEARCH(IF(Francais,"et LS","and SLS"),$B39)),IF(COLUMN(A$1)=1,PrixTPU,PrixTPU_Dist),0)+
IF(ISNUMBER(SEARCH(IF(Francais,"Sans Scanner (STD)","Without Scanner (STD)"),$B39)),IF(COLUMN(A$1)=1,(STD_GenCalib_Drivers_Instr_Techsup+PrixRootPosiSTD),ROUND((STD_GenCalib_Drivers_Instr_Techsup)*(1-RebateCalibScanner)+PrixRPosiSTD_Dist,0)),0)+
IF(ISNUMBER(SEARCH(IF(Francais,"Sans Scanner (LA)","Without Scanner (LA)"),$B39)),IF(COLUMN(A$1)=1,(LA_GenCalib_Drivers_Instr_Techsup+PrixRootPosiLA),ROUND((LA_GenCalib_Drivers_Instr_Techsup)*(1-RebateCalibScanner)+PrixRPosiPLA_Dist,0)),0),
"")</f>
        <v>9961</v>
      </c>
    </row>
    <row r="40" spans="1:4" ht="15.5" customHeight="1" x14ac:dyDescent="0.2">
      <c r="A40" s="151"/>
      <c r="B40" t="s">
        <v>822</v>
      </c>
      <c r="C40" s="324">
        <f>IF(AND(ShowStaticListPrice,Checkbox_SansScanner),
N("PrixSoftware")+INDEX(C$30:C$33,MATCH(LEFT($B40,FIND(" ",$B40,FIND(" ",$B40)+1))&amp;"*",$B$30:$B$33,0))+
IF(ISNUMBER(SEARCH("STD4800",$B40)),IF(COLUMN(A$1)=1,PrixSTD+PrixRootPosiSTD,ROUND(PrixSTD_Dist+PrixRPosiSTD_Dist,0)),0)+
IF(ISNUMBER(SEARCH("LA2400",$B40)),IF(COLUMN(A$1)=1,PrixLA+PrixRootPosiLA,ROUND(PrixLA_Dist+PrixRPosiPLA_Dist,0)),0)+
IF(ISNUMBER(SEARCH(IF(Francais,"et LS","and SLS"),$B40)),IF(COLUMN(A$1)=1,PrixTPU,PrixTPU_Dist),0)+
IF(ISNUMBER(SEARCH(IF(Francais,"Sans Scanner (STD)","Without Scanner (STD)"),$B40)),IF(COLUMN(A$1)=1,(STD_GenCalib_Drivers_Instr_Techsup+PrixRootPosiSTD),ROUND((STD_GenCalib_Drivers_Instr_Techsup)*(1-RebateCalibScanner)+PrixRPosiSTD_Dist,0)),0)+
IF(ISNUMBER(SEARCH(IF(Francais,"Sans Scanner (LA)","Without Scanner (LA)"),$B40)),IF(COLUMN(A$1)=1,(LA_GenCalib_Drivers_Instr_Techsup+PrixRootPosiLA),ROUND((LA_GenCalib_Drivers_Instr_Techsup)*(1-RebateCalibScanner)+PrixRPosiPLA_Dist,0)),0),
"")</f>
        <v>4065</v>
      </c>
    </row>
    <row r="41" spans="1:4" ht="15.5" customHeight="1" x14ac:dyDescent="0.2">
      <c r="A41" s="151"/>
      <c r="B41" t="s">
        <v>823</v>
      </c>
      <c r="C41" s="324">
        <f>IF(AND(ShowStaticListPrice,Checkbox_SansScanner),
N("PrixSoftware")+INDEX(C$30:C$33,MATCH(LEFT($B41,FIND(" ",$B41,FIND(" ",$B41)+1))&amp;"*",$B$30:$B$33,0))+
IF(ISNUMBER(SEARCH("STD4800",$B41)),IF(COLUMN(A$1)=1,PrixSTD+PrixRootPosiSTD,ROUND(PrixSTD_Dist+PrixRPosiSTD_Dist,0)),0)+
IF(ISNUMBER(SEARCH("LA2400",$B41)),IF(COLUMN(A$1)=1,PrixLA+PrixRootPosiLA,ROUND(PrixLA_Dist+PrixRPosiPLA_Dist,0)),0)+
IF(ISNUMBER(SEARCH(IF(Francais,"et LS","and SLS"),$B41)),IF(COLUMN(A$1)=1,PrixTPU,PrixTPU_Dist),0)+
IF(ISNUMBER(SEARCH(IF(Francais,"Sans Scanner (STD)","Without Scanner (STD)"),$B41)),IF(COLUMN(A$1)=1,(STD_GenCalib_Drivers_Instr_Techsup+PrixRootPosiSTD),ROUND((STD_GenCalib_Drivers_Instr_Techsup)*(1-RebateCalibScanner)+PrixRPosiSTD_Dist,0)),0)+
IF(ISNUMBER(SEARCH(IF(Francais,"Sans Scanner (LA)","Without Scanner (LA)"),$B41)),IF(COLUMN(A$1)=1,(LA_GenCalib_Drivers_Instr_Techsup+PrixRootPosiLA),ROUND((LA_GenCalib_Drivers_Instr_Techsup)*(1-RebateCalibScanner)+PrixRPosiPLA_Dist,0)),0),
"")</f>
        <v>4351</v>
      </c>
    </row>
    <row r="42" spans="1:4" ht="15.5" customHeight="1" x14ac:dyDescent="0.2">
      <c r="A42" s="151"/>
      <c r="B42" t="s">
        <v>824</v>
      </c>
      <c r="C42" s="324">
        <f>IF(AND(ShowStaticListPrice,Checkbox_WithScan),
N("PrixSoftware")+INDEX(C$30:C$33,MATCH(LEFT($B42,FIND(" ",$B42,FIND(" ",$B42)+1))&amp;"*",$B$30:$B$33,0))+
IF(ISNUMBER(SEARCH("STD4800",$B42)),IF(COLUMN(A$1)=1,PrixSTD+PrixRootPosiSTD,ROUND(PrixSTD_Dist+PrixRPosiSTD_Dist,0)),0)+
IF(ISNUMBER(SEARCH("LA2400",$B42)),IF(COLUMN(A$1)=1,PrixLA+PrixRootPosiLA,ROUND(PrixLA_Dist+PrixRPosiPLA_Dist,0)),0)+
IF(ISNUMBER(SEARCH(IF(Francais,"et LS","and SLS"),$B42)),IF(COLUMN(A$1)=1,PrixTPU,PrixTPU_Dist),0)+
IF(ISNUMBER(SEARCH(IF(Francais,"Sans Scanner (STD)","Without Scanner (STD)"),$B42)),IF(COLUMN(A$1)=1,(STD_GenCalib_Drivers_Instr_Techsup+PrixRootPosiSTD),ROUND((STD_GenCalib_Drivers_Instr_Techsup)*(1-RebateCalibScanner)+PrixRPosiSTD_Dist,0)),0)+
IF(ISNUMBER(SEARCH(IF(Francais,"Sans Scanner (LA)","Without Scanner (LA)"),$B42)),IF(COLUMN(A$1)=1,(LA_GenCalib_Drivers_Instr_Techsup+PrixRootPosiLA),ROUND((LA_GenCalib_Drivers_Instr_Techsup)*(1-RebateCalibScanner)+PrixRPosiPLA_Dist,0)),0),
"")</f>
        <v>7859</v>
      </c>
    </row>
    <row r="43" spans="1:4" ht="15.5" customHeight="1" x14ac:dyDescent="0.2">
      <c r="A43" s="151"/>
      <c r="B43" t="s">
        <v>825</v>
      </c>
      <c r="C43" s="324">
        <f>IF(AND(ShowStaticListPrice,Checkbox_WithScan),
N("PrixSoftware")+INDEX(C$30:C$33,MATCH(LEFT($B43,FIND(" ",$B43,FIND(" ",$B43)+1))&amp;"*",$B$30:$B$33,0))+
IF(ISNUMBER(SEARCH("STD4800",$B43)),IF(COLUMN(A$1)=1,PrixSTD+PrixRootPosiSTD,ROUND(PrixSTD_Dist+PrixRPosiSTD_Dist,0)),0)+
IF(ISNUMBER(SEARCH("LA2400",$B43)),IF(COLUMN(A$1)=1,PrixLA+PrixRootPosiLA,ROUND(PrixLA_Dist+PrixRPosiPLA_Dist,0)),0)+
IF(ISNUMBER(SEARCH(IF(Francais,"et LS","and SLS"),$B43)),IF(COLUMN(A$1)=1,PrixTPU,PrixTPU_Dist),0)+
IF(ISNUMBER(SEARCH(IF(Francais,"Sans Scanner (STD)","Without Scanner (STD)"),$B43)),IF(COLUMN(A$1)=1,(STD_GenCalib_Drivers_Instr_Techsup+PrixRootPosiSTD),ROUND((STD_GenCalib_Drivers_Instr_Techsup)*(1-RebateCalibScanner)+PrixRPosiSTD_Dist,0)),0)+
IF(ISNUMBER(SEARCH(IF(Francais,"Sans Scanner (LA)","Without Scanner (LA)"),$B43)),IF(COLUMN(A$1)=1,(LA_GenCalib_Drivers_Instr_Techsup+PrixRootPosiLA),ROUND((LA_GenCalib_Drivers_Instr_Techsup)*(1-RebateCalibScanner)+PrixRPosiPLA_Dist,0)),0),
"")</f>
        <v>12154</v>
      </c>
    </row>
    <row r="44" spans="1:4" ht="15.5" customHeight="1" x14ac:dyDescent="0.2">
      <c r="A44" s="151"/>
      <c r="B44" t="s">
        <v>826</v>
      </c>
      <c r="C44" s="324">
        <f>IF(AND(ShowStaticListPrice,Checkbox_SansScanner),
N("PrixSoftware")+INDEX(C$30:C$33,MATCH(LEFT($B44,FIND(" ",$B44,FIND(" ",$B44)+1))&amp;"*",$B$30:$B$33,0))+
IF(ISNUMBER(SEARCH("STD4800",$B44)),IF(COLUMN(A$1)=1,PrixSTD+PrixRootPosiSTD,ROUND(PrixSTD_Dist+PrixRPosiSTD_Dist,0)),0)+
IF(ISNUMBER(SEARCH("LA2400",$B44)),IF(COLUMN(A$1)=1,PrixLA+PrixRootPosiLA,ROUND(PrixLA_Dist+PrixRPosiPLA_Dist,0)),0)+
IF(ISNUMBER(SEARCH(IF(Francais,"et LS","and SLS"),$B44)),IF(COLUMN(A$1)=1,PrixTPU,PrixTPU_Dist),0)+
IF(ISNUMBER(SEARCH(IF(Francais,"Sans Scanner (STD)","Without Scanner (STD)"),$B44)),IF(COLUMN(A$1)=1,(STD_GenCalib_Drivers_Instr_Techsup+PrixRootPosiSTD),ROUND((STD_GenCalib_Drivers_Instr_Techsup)*(1-RebateCalibScanner)+PrixRPosiSTD_Dist,0)),0)+
IF(ISNUMBER(SEARCH(IF(Francais,"Sans Scanner (LA)","Without Scanner (LA)"),$B44)),IF(COLUMN(A$1)=1,(LA_GenCalib_Drivers_Instr_Techsup+PrixRootPosiLA),ROUND((LA_GenCalib_Drivers_Instr_Techsup)*(1-RebateCalibScanner)+PrixRPosiPLA_Dist,0)),0),
"")</f>
        <v>6258</v>
      </c>
      <c r="D44" s="933" t="str">
        <f>IF(NOT(QUOTE_DistDisableSameClient),IF(Francais,"Contactez sales@regentinstruments.com pour obtenir un devis avec des rabais ou utilisez notre liste de prix Excel dynamique pour que les rabais soient calculés automatiquement.","Contact sales@regentinstruments.com to get a quote with discounts or use our dynamic Excel's price list to get the discount calculated automatically."),"")</f>
        <v>Contactez sales@regentinstruments.com pour obtenir un devis avec des rabais ou utilisez notre liste de prix Excel dynamique pour que les rabais soient calculés automatiquement.</v>
      </c>
    </row>
    <row r="45" spans="1:4" ht="15.5" customHeight="1" x14ac:dyDescent="0.2">
      <c r="A45" s="151"/>
      <c r="B45" t="s">
        <v>827</v>
      </c>
      <c r="C45" s="324">
        <f>IF(AND(ShowStaticListPrice,Checkbox_SansScanner),
N("PrixSoftware")+INDEX(C$30:C$33,MATCH(LEFT($B45,FIND(" ",$B45,FIND(" ",$B45)+1))&amp;"*",$B$30:$B$33,0))+
IF(ISNUMBER(SEARCH("STD4800",$B45)),IF(COLUMN(A$1)=1,PrixSTD+PrixRootPosiSTD,ROUND(PrixSTD_Dist+PrixRPosiSTD_Dist,0)),0)+
IF(ISNUMBER(SEARCH("LA2400",$B45)),IF(COLUMN(A$1)=1,PrixLA+PrixRootPosiLA,ROUND(PrixLA_Dist+PrixRPosiPLA_Dist,0)),0)+
IF(ISNUMBER(SEARCH(IF(Francais,"et LS","and SLS"),$B45)),IF(COLUMN(A$1)=1,PrixTPU,PrixTPU_Dist),0)+
IF(ISNUMBER(SEARCH(IF(Francais,"Sans Scanner (STD)","Without Scanner (STD)"),$B45)),IF(COLUMN(A$1)=1,(STD_GenCalib_Drivers_Instr_Techsup+PrixRootPosiSTD),ROUND((STD_GenCalib_Drivers_Instr_Techsup)*(1-RebateCalibScanner)+PrixRPosiSTD_Dist,0)),0)+
IF(ISNUMBER(SEARCH(IF(Francais,"Sans Scanner (LA)","Without Scanner (LA)"),$B45)),IF(COLUMN(A$1)=1,(LA_GenCalib_Drivers_Instr_Techsup+PrixRootPosiLA),ROUND((LA_GenCalib_Drivers_Instr_Techsup)*(1-RebateCalibScanner)+PrixRPosiPLA_Dist,0)),0),
"")</f>
        <v>6544</v>
      </c>
      <c r="D45" s="933"/>
    </row>
    <row r="46" spans="1:4" ht="15.5" customHeight="1" x14ac:dyDescent="0.2">
      <c r="A46" s="151"/>
      <c r="B46" t="s">
        <v>828</v>
      </c>
      <c r="C46" s="324">
        <f>IF(AND(ShowStaticListPrice,Checkbox_WithScan),
N("PrixSoftware")+INDEX(C$30:C$33,MATCH(LEFT($B46,FIND(" ",$B46,FIND(" ",$B46)+1))&amp;"*",$B$30:$B$33,0))+
IF(ISNUMBER(SEARCH("STD4800",$B46)),IF(COLUMN(A$1)=1,PrixSTD+PrixRootPosiSTD,ROUND(PrixSTD_Dist+PrixRPosiSTD_Dist,0)),0)+
IF(ISNUMBER(SEARCH("LA2400",$B46)),IF(COLUMN(A$1)=1,PrixLA+PrixRootPosiLA,ROUND(PrixLA_Dist+PrixRPosiPLA_Dist,0)),0)+
IF(ISNUMBER(SEARCH(IF(Francais,"et LS","and SLS"),$B46)),IF(COLUMN(A$1)=1,PrixTPU,PrixTPU_Dist),0)+
IF(ISNUMBER(SEARCH(IF(Francais,"Sans Scanner (STD)","Without Scanner (STD)"),$B46)),IF(COLUMN(A$1)=1,(STD_GenCalib_Drivers_Instr_Techsup+PrixRootPosiSTD),ROUND((STD_GenCalib_Drivers_Instr_Techsup)*(1-RebateCalibScanner)+PrixRPosiSTD_Dist,0)),0)+
IF(ISNUMBER(SEARCH(IF(Francais,"Sans Scanner (LA)","Without Scanner (LA)"),$B46)),IF(COLUMN(A$1)=1,(LA_GenCalib_Drivers_Instr_Techsup+PrixRootPosiLA),ROUND((LA_GenCalib_Drivers_Instr_Techsup)*(1-RebateCalibScanner)+PrixRPosiPLA_Dist,0)),0),
"")</f>
        <v>9285</v>
      </c>
      <c r="D46" s="933"/>
    </row>
    <row r="47" spans="1:4" ht="15.5" customHeight="1" x14ac:dyDescent="0.2">
      <c r="A47" s="151"/>
      <c r="B47" t="s">
        <v>829</v>
      </c>
      <c r="C47" s="324">
        <f>IF(AND(ShowStaticListPrice,Checkbox_WithScan),
N("PrixSoftware")+INDEX(C$30:C$33,MATCH(LEFT($B47,FIND(" ",$B47,FIND(" ",$B47)+1))&amp;"*",$B$30:$B$33,0))+
IF(ISNUMBER(SEARCH("STD4800",$B47)),IF(COLUMN(A$1)=1,PrixSTD+PrixRootPosiSTD,ROUND(PrixSTD_Dist+PrixRPosiSTD_Dist,0)),0)+
IF(ISNUMBER(SEARCH("LA2400",$B47)),IF(COLUMN(A$1)=1,PrixLA+PrixRootPosiLA,ROUND(PrixLA_Dist+PrixRPosiPLA_Dist,0)),0)+
IF(ISNUMBER(SEARCH(IF(Francais,"et LS","and SLS"),$B47)),IF(COLUMN(A$1)=1,PrixTPU,PrixTPU_Dist),0)+
IF(ISNUMBER(SEARCH(IF(Francais,"Sans Scanner (STD)","Without Scanner (STD)"),$B47)),IF(COLUMN(A$1)=1,(STD_GenCalib_Drivers_Instr_Techsup+PrixRootPosiSTD),ROUND((STD_GenCalib_Drivers_Instr_Techsup)*(1-RebateCalibScanner)+PrixRPosiSTD_Dist,0)),0)+
IF(ISNUMBER(SEARCH(IF(Francais,"Sans Scanner (LA)","Without Scanner (LA)"),$B47)),IF(COLUMN(A$1)=1,(LA_GenCalib_Drivers_Instr_Techsup+PrixRootPosiLA),ROUND((LA_GenCalib_Drivers_Instr_Techsup)*(1-RebateCalibScanner)+PrixRPosiPLA_Dist,0)),0),
"")</f>
        <v>13580</v>
      </c>
      <c r="D47" s="933"/>
    </row>
    <row r="48" spans="1:4" ht="21" x14ac:dyDescent="0.2">
      <c r="A48" s="151"/>
      <c r="B48" t="s">
        <v>830</v>
      </c>
      <c r="C48" s="324">
        <f>IF(AND(ShowStaticListPrice,Checkbox_SansScanner),
N("PrixSoftware")+INDEX(C$30:C$33,MATCH(LEFT($B48,FIND(" ",$B48,FIND(" ",$B48)+1))&amp;"*",$B$30:$B$33,0))+
IF(ISNUMBER(SEARCH("STD4800",$B48)),IF(COLUMN(A$1)=1,PrixSTD+PrixRootPosiSTD,ROUND(PrixSTD_Dist+PrixRPosiSTD_Dist,0)),0)+
IF(ISNUMBER(SEARCH("LA2400",$B48)),IF(COLUMN(A$1)=1,PrixLA+PrixRootPosiLA,ROUND(PrixLA_Dist+PrixRPosiPLA_Dist,0)),0)+
IF(ISNUMBER(SEARCH(IF(Francais,"et LS","and SLS"),$B48)),IF(COLUMN(A$1)=1,PrixTPU,PrixTPU_Dist),0)+
IF(ISNUMBER(SEARCH(IF(Francais,"Sans Scanner (STD)","Without Scanner (STD)"),$B48)),IF(COLUMN(A$1)=1,(STD_GenCalib_Drivers_Instr_Techsup+PrixRootPosiSTD),ROUND((STD_GenCalib_Drivers_Instr_Techsup)*(1-RebateCalibScanner)+PrixRPosiSTD_Dist,0)),0)+
IF(ISNUMBER(SEARCH(IF(Francais,"Sans Scanner (LA)","Without Scanner (LA)"),$B48)),IF(COLUMN(A$1)=1,(LA_GenCalib_Drivers_Instr_Techsup+PrixRootPosiLA),ROUND((LA_GenCalib_Drivers_Instr_Techsup)*(1-RebateCalibScanner)+PrixRPosiPLA_Dist,0)),0),
"")</f>
        <v>7684</v>
      </c>
    </row>
    <row r="49" spans="1:3" ht="21" x14ac:dyDescent="0.2">
      <c r="A49" s="151"/>
      <c r="B49" t="s">
        <v>831</v>
      </c>
      <c r="C49" s="324">
        <f>IF(AND(ShowStaticListPrice,Checkbox_SansScanner),
N("PrixSoftware")+INDEX(C$30:C$33,MATCH(LEFT($B49,FIND(" ",$B49,FIND(" ",$B49)+1))&amp;"*",$B$30:$B$33,0))+
IF(ISNUMBER(SEARCH("STD4800",$B49)),IF(COLUMN(A$1)=1,PrixSTD+PrixRootPosiSTD,ROUND(PrixSTD_Dist+PrixRPosiSTD_Dist,0)),0)+
IF(ISNUMBER(SEARCH("LA2400",$B49)),IF(COLUMN(A$1)=1,PrixLA+PrixRootPosiLA,ROUND(PrixLA_Dist+PrixRPosiPLA_Dist,0)),0)+
IF(ISNUMBER(SEARCH(IF(Francais,"et LS","and SLS"),$B49)),IF(COLUMN(A$1)=1,PrixTPU,PrixTPU_Dist),0)+
IF(ISNUMBER(SEARCH(IF(Francais,"Sans Scanner (STD)","Without Scanner (STD)"),$B49)),IF(COLUMN(A$1)=1,(STD_GenCalib_Drivers_Instr_Techsup+PrixRootPosiSTD),ROUND((STD_GenCalib_Drivers_Instr_Techsup)*(1-RebateCalibScanner)+PrixRPosiSTD_Dist,0)),0)+
IF(ISNUMBER(SEARCH(IF(Francais,"Sans Scanner (LA)","Without Scanner (LA)"),$B49)),IF(COLUMN(A$1)=1,(LA_GenCalib_Drivers_Instr_Techsup+PrixRootPosiLA),ROUND((LA_GenCalib_Drivers_Instr_Techsup)*(1-RebateCalibScanner)+PrixRPosiPLA_Dist,0)),0),
"")</f>
        <v>7970</v>
      </c>
    </row>
    <row r="50" spans="1:3" x14ac:dyDescent="0.2">
      <c r="A50" s="159"/>
      <c r="B50" s="159"/>
      <c r="C50" s="329"/>
    </row>
    <row r="51" spans="1:3" x14ac:dyDescent="0.2">
      <c r="A51" s="159"/>
      <c r="B51" t="s">
        <v>363</v>
      </c>
      <c r="C51" s="324">
        <f>IF(ShowStaticListPrice,Calc!A52,"")</f>
        <v>1443</v>
      </c>
    </row>
    <row r="52" spans="1:3" x14ac:dyDescent="0.2">
      <c r="A52" s="159"/>
      <c r="B52" t="s">
        <v>205</v>
      </c>
      <c r="C52" s="324">
        <f>IF(ShowStaticListPrice,Calc!A53,"")</f>
        <v>2265</v>
      </c>
    </row>
    <row r="53" spans="1:3" x14ac:dyDescent="0.2">
      <c r="A53" s="159"/>
      <c r="B53" t="s">
        <v>206</v>
      </c>
      <c r="C53" s="324">
        <f>IF(ShowStaticListPrice,Calc!A54,"")</f>
        <v>3731</v>
      </c>
    </row>
    <row r="54" spans="1:3" x14ac:dyDescent="0.2">
      <c r="A54" s="159"/>
      <c r="B54" t="s">
        <v>832</v>
      </c>
      <c r="C54" s="324">
        <f>IF(AND(ShowStaticListPrice,Checkbox_WithScan),
N("PrixSoftware")+INDEX(C$51:C$53,MATCH(LEFT($B54,FIND(" ",$B54,FIND(" ",$B54)+1))&amp;"*",$B$51:$B$53,0))+
IF(ISNUMBER(SEARCH("STD4800",$B54)),IF(COLUMN(A$1)=1,PrixSTD+PrixRootPosiSTD,ROUND(PrixSTD_Dist+PrixRPosiSTD_Dist,0)),0)+
IF(ISNUMBER(SEARCH("LA2400",$B54)),IF(COLUMN(A$1)=1,PrixLA+PrixRootPosiLA,ROUND(PrixLA_Dist+PrixRPosiPLA_Dist,0)),0)+
IF(ISNUMBER(SEARCH(IF(Francais,"et LS","and SLS"),$B54)),IF(COLUMN(A$1)=1,PrixTPU,PrixTPU_Dist),0)+
IF(ISNUMBER(SEARCH(IF(Francais,"Sans Scanner (STD)","Without Scanner (STD)"),$B54)),IF(COLUMN(A$1)=1,(STD_GenCalib_Drivers_Instr_Techsup+PrixRootPosiSTD),ROUND((STD_GenCalib_Drivers_Instr_Techsup)*(1-RebateCalibScanner)+PrixRPosiSTD_Dist,0)),0)+
IF(ISNUMBER(SEARCH(IF(Francais,"Sans Scanner (LA)","Without Scanner (LA)"),$B54)),IF(COLUMN(A$1)=1,(LA_GenCalib_Drivers_Instr_Techsup+PrixRootPosiLA),ROUND((LA_GenCalib_Drivers_Instr_Techsup)*(1-RebateCalibScanner)+PrixRPosiPLA_Dist,0)),0),
"")</f>
        <v>3497</v>
      </c>
    </row>
    <row r="55" spans="1:3" x14ac:dyDescent="0.2">
      <c r="A55" s="159"/>
      <c r="B55" t="s">
        <v>833</v>
      </c>
      <c r="C55" s="324">
        <f>IF(AND(ShowStaticListPrice,Checkbox_WithScan),
N("PrixSoftware")+INDEX(C$51:C$53,MATCH(LEFT($B55,FIND(" ",$B55,FIND(" ",$B55)+1))&amp;"*",$B$51:$B$53,0))+
IF(ISNUMBER(SEARCH("STD4800",$B55)),IF(COLUMN(A$1)=1,PrixSTD+PrixRootPosiSTD,ROUND(PrixSTD_Dist+PrixRPosiSTD_Dist,0)),0)+
IF(ISNUMBER(SEARCH("LA2400",$B55)),IF(COLUMN(A$1)=1,PrixLA+PrixRootPosiLA,ROUND(PrixLA_Dist+PrixRPosiPLA_Dist,0)),0)+
IF(ISNUMBER(SEARCH(IF(Francais,"et LS","and SLS"),$B55)),IF(COLUMN(A$1)=1,PrixTPU,PrixTPU_Dist),0)+
IF(ISNUMBER(SEARCH(IF(Francais,"Sans Scanner (STD)","Without Scanner (STD)"),$B55)),IF(COLUMN(A$1)=1,(STD_GenCalib_Drivers_Instr_Techsup+PrixRootPosiSTD),ROUND((STD_GenCalib_Drivers_Instr_Techsup)*(1-RebateCalibScanner)+PrixRPosiSTD_Dist,0)),0)+
IF(ISNUMBER(SEARCH(IF(Francais,"Sans Scanner (LA)","Without Scanner (LA)"),$B55)),IF(COLUMN(A$1)=1,(LA_GenCalib_Drivers_Instr_Techsup+PrixRootPosiLA),ROUND((LA_GenCalib_Drivers_Instr_Techsup)*(1-RebateCalibScanner)+PrixRPosiPLA_Dist,0)),0),
"")</f>
        <v>7792</v>
      </c>
    </row>
    <row r="56" spans="1:3" x14ac:dyDescent="0.2">
      <c r="A56" s="159"/>
      <c r="B56" t="s">
        <v>834</v>
      </c>
      <c r="C56" s="324">
        <f>IF(AND(ShowStaticListPrice,Checkbox_SansScanner),
N("PrixSoftware")+INDEX(C$51:C$53,MATCH(LEFT($B56,FIND(" ",$B56,FIND(" ",$B56)+1))&amp;"*",$B$51:$B$53,0))+
IF(ISNUMBER(SEARCH("STD4800",$B56)),IF(COLUMN(A$1)=1,PrixSTD+PrixRootPosiSTD,ROUND(PrixSTD_Dist+PrixRPosiSTD_Dist,0)),0)+
IF(ISNUMBER(SEARCH("LA2400",$B56)),IF(COLUMN(A$1)=1,PrixLA+PrixRootPosiLA,ROUND(PrixLA_Dist+PrixRPosiPLA_Dist,0)),0)+
IF(ISNUMBER(SEARCH(IF(Francais,"et LS","and SLS"),$B56)),IF(COLUMN(A$1)=1,PrixTPU,PrixTPU_Dist),0)+
IF(ISNUMBER(SEARCH(IF(Francais,"Sans Scanner (STD)","Without Scanner (STD)"),$B56)),IF(COLUMN(A$1)=1,(STD_GenCalib_Drivers_Instr_Techsup+PrixRootPosiSTD),ROUND((STD_GenCalib_Drivers_Instr_Techsup)*(1-RebateCalibScanner)+PrixRPosiSTD_Dist,0)),0)+
IF(ISNUMBER(SEARCH(IF(Francais,"Sans Scanner (LA)","Without Scanner (LA)"),$B56)),IF(COLUMN(A$1)=1,(LA_GenCalib_Drivers_Instr_Techsup+PrixRootPosiLA),ROUND((LA_GenCalib_Drivers_Instr_Techsup)*(1-RebateCalibScanner)+PrixRPosiPLA_Dist,0)),0),
"")</f>
        <v>1896</v>
      </c>
    </row>
    <row r="57" spans="1:3" x14ac:dyDescent="0.2">
      <c r="A57" s="159"/>
      <c r="B57" t="s">
        <v>835</v>
      </c>
      <c r="C57" s="324">
        <f>IF(AND(ShowStaticListPrice,Checkbox_SansScanner),
N("PrixSoftware")+INDEX(C$51:C$53,MATCH(LEFT($B57,FIND(" ",$B57,FIND(" ",$B57)+1))&amp;"*",$B$51:$B$53,0))+
IF(ISNUMBER(SEARCH("STD4800",$B57)),IF(COLUMN(A$1)=1,PrixSTD+PrixRootPosiSTD,ROUND(PrixSTD_Dist+PrixRPosiSTD_Dist,0)),0)+
IF(ISNUMBER(SEARCH("LA2400",$B57)),IF(COLUMN(A$1)=1,PrixLA+PrixRootPosiLA,ROUND(PrixLA_Dist+PrixRPosiPLA_Dist,0)),0)+
IF(ISNUMBER(SEARCH(IF(Francais,"et LS","and SLS"),$B57)),IF(COLUMN(A$1)=1,PrixTPU,PrixTPU_Dist),0)+
IF(ISNUMBER(SEARCH(IF(Francais,"Sans Scanner (STD)","Without Scanner (STD)"),$B57)),IF(COLUMN(A$1)=1,(STD_GenCalib_Drivers_Instr_Techsup+PrixRootPosiSTD),ROUND((STD_GenCalib_Drivers_Instr_Techsup)*(1-RebateCalibScanner)+PrixRPosiSTD_Dist,0)),0)+
IF(ISNUMBER(SEARCH(IF(Francais,"Sans Scanner (LA)","Without Scanner (LA)"),$B57)),IF(COLUMN(A$1)=1,(LA_GenCalib_Drivers_Instr_Techsup+PrixRootPosiLA),ROUND((LA_GenCalib_Drivers_Instr_Techsup)*(1-RebateCalibScanner)+PrixRPosiPLA_Dist,0)),0),
"")</f>
        <v>2182</v>
      </c>
    </row>
    <row r="58" spans="1:3" x14ac:dyDescent="0.2">
      <c r="A58" s="159"/>
      <c r="B58" t="s">
        <v>836</v>
      </c>
      <c r="C58" s="324">
        <f>IF(AND(ShowStaticListPrice,Checkbox_WithScan),
N("PrixSoftware")+INDEX(C$51:C$53,MATCH(LEFT($B58,FIND(" ",$B58,FIND(" ",$B58)+1))&amp;"*",$B$51:$B$53,0))+
IF(ISNUMBER(SEARCH("STD4800",$B58)),IF(COLUMN(A$1)=1,PrixSTD+PrixRootPosiSTD,ROUND(PrixSTD_Dist+PrixRPosiSTD_Dist,0)),0)+
IF(ISNUMBER(SEARCH("LA2400",$B58)),IF(COLUMN(A$1)=1,PrixLA+PrixRootPosiLA,ROUND(PrixLA_Dist+PrixRPosiPLA_Dist,0)),0)+
IF(ISNUMBER(SEARCH(IF(Francais,"et LS","and SLS"),$B58)),IF(COLUMN(A$1)=1,PrixTPU,PrixTPU_Dist),0)+
IF(ISNUMBER(SEARCH(IF(Francais,"Sans Scanner (STD)","Without Scanner (STD)"),$B58)),IF(COLUMN(A$1)=1,(STD_GenCalib_Drivers_Instr_Techsup+PrixRootPosiSTD),ROUND((STD_GenCalib_Drivers_Instr_Techsup)*(1-RebateCalibScanner)+PrixRPosiSTD_Dist,0)),0)+
IF(ISNUMBER(SEARCH(IF(Francais,"Sans Scanner (LA)","Without Scanner (LA)"),$B58)),IF(COLUMN(A$1)=1,(LA_GenCalib_Drivers_Instr_Techsup+PrixRootPosiLA),ROUND((LA_GenCalib_Drivers_Instr_Techsup)*(1-RebateCalibScanner)+PrixRPosiPLA_Dist,0)),0),
"")</f>
        <v>4319</v>
      </c>
    </row>
    <row r="59" spans="1:3" x14ac:dyDescent="0.2">
      <c r="A59" s="159"/>
      <c r="B59" t="s">
        <v>837</v>
      </c>
      <c r="C59" s="324">
        <f>IF(AND(ShowStaticListPrice,Checkbox_WithScan),
N("PrixSoftware")+INDEX(C$51:C$53,MATCH(LEFT($B59,FIND(" ",$B59,FIND(" ",$B59)+1))&amp;"*",$B$51:$B$53,0))+
IF(ISNUMBER(SEARCH("STD4800",$B59)),IF(COLUMN(A$1)=1,PrixSTD+PrixRootPosiSTD,ROUND(PrixSTD_Dist+PrixRPosiSTD_Dist,0)),0)+
IF(ISNUMBER(SEARCH("LA2400",$B59)),IF(COLUMN(A$1)=1,PrixLA+PrixRootPosiLA,ROUND(PrixLA_Dist+PrixRPosiPLA_Dist,0)),0)+
IF(ISNUMBER(SEARCH(IF(Francais,"et LS","and SLS"),$B59)),IF(COLUMN(A$1)=1,PrixTPU,PrixTPU_Dist),0)+
IF(ISNUMBER(SEARCH(IF(Francais,"Sans Scanner (STD)","Without Scanner (STD)"),$B59)),IF(COLUMN(A$1)=1,(STD_GenCalib_Drivers_Instr_Techsup+PrixRootPosiSTD),ROUND((STD_GenCalib_Drivers_Instr_Techsup)*(1-RebateCalibScanner)+PrixRPosiSTD_Dist,0)),0)+
IF(ISNUMBER(SEARCH(IF(Francais,"Sans Scanner (LA)","Without Scanner (LA)"),$B59)),IF(COLUMN(A$1)=1,(LA_GenCalib_Drivers_Instr_Techsup+PrixRootPosiLA),ROUND((LA_GenCalib_Drivers_Instr_Techsup)*(1-RebateCalibScanner)+PrixRPosiPLA_Dist,0)),0),
"")</f>
        <v>8614</v>
      </c>
    </row>
    <row r="60" spans="1:3" x14ac:dyDescent="0.2">
      <c r="A60" s="159"/>
      <c r="B60" t="s">
        <v>838</v>
      </c>
      <c r="C60" s="324">
        <f>IF(AND(ShowStaticListPrice,Checkbox_SansScanner),
N("PrixSoftware")+INDEX(C$51:C$53,MATCH(LEFT($B60,FIND(" ",$B60,FIND(" ",$B60)+1))&amp;"*",$B$51:$B$53,0))+
IF(ISNUMBER(SEARCH("STD4800",$B60)),IF(COLUMN(A$1)=1,PrixSTD+PrixRootPosiSTD,ROUND(PrixSTD_Dist+PrixRPosiSTD_Dist,0)),0)+
IF(ISNUMBER(SEARCH("LA2400",$B60)),IF(COLUMN(A$1)=1,PrixLA+PrixRootPosiLA,ROUND(PrixLA_Dist+PrixRPosiPLA_Dist,0)),0)+
IF(ISNUMBER(SEARCH(IF(Francais,"et LS","and SLS"),$B60)),IF(COLUMN(A$1)=1,PrixTPU,PrixTPU_Dist),0)+
IF(ISNUMBER(SEARCH(IF(Francais,"Sans Scanner (STD)","Without Scanner (STD)"),$B60)),IF(COLUMN(A$1)=1,(STD_GenCalib_Drivers_Instr_Techsup+PrixRootPosiSTD),ROUND((STD_GenCalib_Drivers_Instr_Techsup)*(1-RebateCalibScanner)+PrixRPosiSTD_Dist,0)),0)+
IF(ISNUMBER(SEARCH(IF(Francais,"Sans Scanner (LA)","Without Scanner (LA)"),$B60)),IF(COLUMN(A$1)=1,(LA_GenCalib_Drivers_Instr_Techsup+PrixRootPosiLA),ROUND((LA_GenCalib_Drivers_Instr_Techsup)*(1-RebateCalibScanner)+PrixRPosiPLA_Dist,0)),0),
"")</f>
        <v>2718</v>
      </c>
    </row>
    <row r="61" spans="1:3" x14ac:dyDescent="0.2">
      <c r="A61" s="159"/>
      <c r="B61" t="s">
        <v>839</v>
      </c>
      <c r="C61" s="324">
        <f>IF(AND(ShowStaticListPrice,Checkbox_SansScanner),
N("PrixSoftware")+INDEX(C$51:C$53,MATCH(LEFT($B61,FIND(" ",$B61,FIND(" ",$B61)+1))&amp;"*",$B$51:$B$53,0))+
IF(ISNUMBER(SEARCH("STD4800",$B61)),IF(COLUMN(A$1)=1,PrixSTD+PrixRootPosiSTD,ROUND(PrixSTD_Dist+PrixRPosiSTD_Dist,0)),0)+
IF(ISNUMBER(SEARCH("LA2400",$B61)),IF(COLUMN(A$1)=1,PrixLA+PrixRootPosiLA,ROUND(PrixLA_Dist+PrixRPosiPLA_Dist,0)),0)+
IF(ISNUMBER(SEARCH(IF(Francais,"et LS","and SLS"),$B61)),IF(COLUMN(A$1)=1,PrixTPU,PrixTPU_Dist),0)+
IF(ISNUMBER(SEARCH(IF(Francais,"Sans Scanner (STD)","Without Scanner (STD)"),$B61)),IF(COLUMN(A$1)=1,(STD_GenCalib_Drivers_Instr_Techsup+PrixRootPosiSTD),ROUND((STD_GenCalib_Drivers_Instr_Techsup)*(1-RebateCalibScanner)+PrixRPosiSTD_Dist,0)),0)+
IF(ISNUMBER(SEARCH(IF(Francais,"Sans Scanner (LA)","Without Scanner (LA)"),$B61)),IF(COLUMN(A$1)=1,(LA_GenCalib_Drivers_Instr_Techsup+PrixRootPosiLA),ROUND((LA_GenCalib_Drivers_Instr_Techsup)*(1-RebateCalibScanner)+PrixRPosiPLA_Dist,0)),0),
"")</f>
        <v>3004</v>
      </c>
    </row>
    <row r="62" spans="1:3" x14ac:dyDescent="0.2">
      <c r="A62" s="159"/>
      <c r="B62" t="s">
        <v>840</v>
      </c>
      <c r="C62" s="324">
        <f>IF(AND(ShowStaticListPrice,Checkbox_WithScan),
N("PrixSoftware")+INDEX(C$51:C$53,MATCH(LEFT($B62,FIND(" ",$B62,FIND(" ",$B62)+1))&amp;"*",$B$51:$B$53,0))+
IF(ISNUMBER(SEARCH("STD4800",$B62)),IF(COLUMN(A$1)=1,PrixSTD+PrixRootPosiSTD,ROUND(PrixSTD_Dist+PrixRPosiSTD_Dist,0)),0)+
IF(ISNUMBER(SEARCH("LA2400",$B62)),IF(COLUMN(A$1)=1,PrixLA+PrixRootPosiLA,ROUND(PrixLA_Dist+PrixRPosiPLA_Dist,0)),0)+
IF(ISNUMBER(SEARCH(IF(Francais,"et LS","and SLS"),$B62)),IF(COLUMN(A$1)=1,PrixTPU,PrixTPU_Dist),0)+
IF(ISNUMBER(SEARCH(IF(Francais,"Sans Scanner (STD)","Without Scanner (STD)"),$B62)),IF(COLUMN(A$1)=1,(STD_GenCalib_Drivers_Instr_Techsup+PrixRootPosiSTD),ROUND((STD_GenCalib_Drivers_Instr_Techsup)*(1-RebateCalibScanner)+PrixRPosiSTD_Dist,0)),0)+
IF(ISNUMBER(SEARCH(IF(Francais,"Sans Scanner (LA)","Without Scanner (LA)"),$B62)),IF(COLUMN(A$1)=1,(LA_GenCalib_Drivers_Instr_Techsup+PrixRootPosiLA),ROUND((LA_GenCalib_Drivers_Instr_Techsup)*(1-RebateCalibScanner)+PrixRPosiPLA_Dist,0)),0),
"")</f>
        <v>5785</v>
      </c>
    </row>
    <row r="63" spans="1:3" x14ac:dyDescent="0.2">
      <c r="A63" s="159"/>
      <c r="B63" t="s">
        <v>841</v>
      </c>
      <c r="C63" s="324">
        <f>IF(AND(ShowStaticListPrice,Checkbox_WithScan),
N("PrixSoftware")+INDEX(C$51:C$53,MATCH(LEFT($B63,FIND(" ",$B63,FIND(" ",$B63)+1))&amp;"*",$B$51:$B$53,0))+
IF(ISNUMBER(SEARCH("STD4800",$B63)),IF(COLUMN(A$1)=1,PrixSTD+PrixRootPosiSTD,ROUND(PrixSTD_Dist+PrixRPosiSTD_Dist,0)),0)+
IF(ISNUMBER(SEARCH("LA2400",$B63)),IF(COLUMN(A$1)=1,PrixLA+PrixRootPosiLA,ROUND(PrixLA_Dist+PrixRPosiPLA_Dist,0)),0)+
IF(ISNUMBER(SEARCH(IF(Francais,"et LS","and SLS"),$B63)),IF(COLUMN(A$1)=1,PrixTPU,PrixTPU_Dist),0)+
IF(ISNUMBER(SEARCH(IF(Francais,"Sans Scanner (STD)","Without Scanner (STD)"),$B63)),IF(COLUMN(A$1)=1,(STD_GenCalib_Drivers_Instr_Techsup+PrixRootPosiSTD),ROUND((STD_GenCalib_Drivers_Instr_Techsup)*(1-RebateCalibScanner)+PrixRPosiSTD_Dist,0)),0)+
IF(ISNUMBER(SEARCH(IF(Francais,"Sans Scanner (LA)","Without Scanner (LA)"),$B63)),IF(COLUMN(A$1)=1,(LA_GenCalib_Drivers_Instr_Techsup+PrixRootPosiLA),ROUND((LA_GenCalib_Drivers_Instr_Techsup)*(1-RebateCalibScanner)+PrixRPosiPLA_Dist,0)),0),
"")</f>
        <v>10080</v>
      </c>
    </row>
    <row r="64" spans="1:3" x14ac:dyDescent="0.2">
      <c r="A64" s="159"/>
      <c r="B64" t="s">
        <v>842</v>
      </c>
      <c r="C64" s="324">
        <f>IF(AND(ShowStaticListPrice,Checkbox_SansScanner),
N("PrixSoftware")+INDEX(C$51:C$53,MATCH(LEFT($B64,FIND(" ",$B64,FIND(" ",$B64)+1))&amp;"*",$B$51:$B$53,0))+
IF(ISNUMBER(SEARCH("STD4800",$B64)),IF(COLUMN(A$1)=1,PrixSTD+PrixRootPosiSTD,ROUND(PrixSTD_Dist+PrixRPosiSTD_Dist,0)),0)+
IF(ISNUMBER(SEARCH("LA2400",$B64)),IF(COLUMN(A$1)=1,PrixLA+PrixRootPosiLA,ROUND(PrixLA_Dist+PrixRPosiPLA_Dist,0)),0)+
IF(ISNUMBER(SEARCH(IF(Francais,"et LS","and SLS"),$B64)),IF(COLUMN(A$1)=1,PrixTPU,PrixTPU_Dist),0)+
IF(ISNUMBER(SEARCH(IF(Francais,"Sans Scanner (STD)","Without Scanner (STD)"),$B64)),IF(COLUMN(A$1)=1,(STD_GenCalib_Drivers_Instr_Techsup+PrixRootPosiSTD),ROUND((STD_GenCalib_Drivers_Instr_Techsup)*(1-RebateCalibScanner)+PrixRPosiSTD_Dist,0)),0)+
IF(ISNUMBER(SEARCH(IF(Francais,"Sans Scanner (LA)","Without Scanner (LA)"),$B64)),IF(COLUMN(A$1)=1,(LA_GenCalib_Drivers_Instr_Techsup+PrixRootPosiLA),ROUND((LA_GenCalib_Drivers_Instr_Techsup)*(1-RebateCalibScanner)+PrixRPosiPLA_Dist,0)),0),
"")</f>
        <v>4184</v>
      </c>
    </row>
    <row r="65" spans="1:3" x14ac:dyDescent="0.2">
      <c r="A65" s="159"/>
      <c r="B65" t="s">
        <v>843</v>
      </c>
      <c r="C65" s="324">
        <f>IF(AND(ShowStaticListPrice,Checkbox_SansScanner),
N("PrixSoftware")+INDEX(C$51:C$53,MATCH(LEFT($B65,FIND(" ",$B65,FIND(" ",$B65)+1))&amp;"*",$B$51:$B$53,0))+
IF(ISNUMBER(SEARCH("STD4800",$B65)),IF(COLUMN(A$1)=1,PrixSTD+PrixRootPosiSTD,ROUND(PrixSTD_Dist+PrixRPosiSTD_Dist,0)),0)+
IF(ISNUMBER(SEARCH("LA2400",$B65)),IF(COLUMN(A$1)=1,PrixLA+PrixRootPosiLA,ROUND(PrixLA_Dist+PrixRPosiPLA_Dist,0)),0)+
IF(ISNUMBER(SEARCH(IF(Francais,"et LS","and SLS"),$B65)),IF(COLUMN(A$1)=1,PrixTPU,PrixTPU_Dist),0)+
IF(ISNUMBER(SEARCH(IF(Francais,"Sans Scanner (STD)","Without Scanner (STD)"),$B65)),IF(COLUMN(A$1)=1,(STD_GenCalib_Drivers_Instr_Techsup+PrixRootPosiSTD),ROUND((STD_GenCalib_Drivers_Instr_Techsup)*(1-RebateCalibScanner)+PrixRPosiSTD_Dist,0)),0)+
IF(ISNUMBER(SEARCH(IF(Francais,"Sans Scanner (LA)","Without Scanner (LA)"),$B65)),IF(COLUMN(A$1)=1,(LA_GenCalib_Drivers_Instr_Techsup+PrixRootPosiLA),ROUND((LA_GenCalib_Drivers_Instr_Techsup)*(1-RebateCalibScanner)+PrixRPosiPLA_Dist,0)),0),
"")</f>
        <v>4470</v>
      </c>
    </row>
    <row r="66" spans="1:3" x14ac:dyDescent="0.2">
      <c r="A66" s="159"/>
      <c r="B66" s="40" t="s">
        <v>844</v>
      </c>
      <c r="C66" s="324"/>
    </row>
    <row r="67" spans="1:3" x14ac:dyDescent="0.2">
      <c r="A67" s="146"/>
      <c r="B67" t="s">
        <v>845</v>
      </c>
      <c r="C67" s="324">
        <f>IF(ShowStaticListPrice,PrixTraySet2Small,"")</f>
        <v>171</v>
      </c>
    </row>
    <row r="68" spans="1:3" x14ac:dyDescent="0.2">
      <c r="A68" s="159"/>
      <c r="B68" t="s">
        <v>846</v>
      </c>
      <c r="C68" s="324">
        <f>IF(ShowStaticListPrice,PrixTraySet3Small,"")</f>
        <v>250</v>
      </c>
    </row>
    <row r="69" spans="1:3" x14ac:dyDescent="0.2">
      <c r="A69" s="146"/>
      <c r="B69" t="s">
        <v>847</v>
      </c>
      <c r="C69" s="324">
        <f>IF(ShowStaticListPrice,PrixTray10x15cm,"")</f>
        <v>78</v>
      </c>
    </row>
    <row r="70" spans="1:3" x14ac:dyDescent="0.2">
      <c r="A70" s="159"/>
      <c r="B70" t="s">
        <v>848</v>
      </c>
      <c r="C70" s="324">
        <f>IF(ShowStaticListPrice,PrixTray15x20cm,"")</f>
        <v>85</v>
      </c>
    </row>
    <row r="71" spans="1:3" x14ac:dyDescent="0.2">
      <c r="A71" s="146"/>
      <c r="B71" t="s">
        <v>849</v>
      </c>
      <c r="C71" s="324">
        <f>IF(ShowStaticListPrice,PrixTray20x25cm,"")</f>
        <v>92</v>
      </c>
    </row>
    <row r="72" spans="1:3" x14ac:dyDescent="0.2">
      <c r="A72" s="159"/>
      <c r="B72" t="s">
        <v>850</v>
      </c>
      <c r="C72" s="324">
        <f>IF(ShowStaticListPrice,PrixTraySet2MedLarge,"")</f>
        <v>247</v>
      </c>
    </row>
    <row r="73" spans="1:3" x14ac:dyDescent="0.2">
      <c r="A73" s="146"/>
      <c r="B73" t="s">
        <v>851</v>
      </c>
      <c r="C73" s="324">
        <f>IF(ShowStaticListPrice,PrixTraySet3MedLarge,"")</f>
        <v>350</v>
      </c>
    </row>
    <row r="74" spans="1:3" x14ac:dyDescent="0.2">
      <c r="A74" s="159"/>
      <c r="B74" t="s">
        <v>852</v>
      </c>
      <c r="C74" s="324">
        <f>IF(ShowStaticListPrice,PrixTraySet5SmallMedLarge,"")</f>
        <v>514</v>
      </c>
    </row>
    <row r="75" spans="1:3" x14ac:dyDescent="0.2">
      <c r="A75" s="146"/>
      <c r="B75" t="s">
        <v>853</v>
      </c>
      <c r="C75" s="324">
        <f>IF(ShowStaticListPrice,PrixTray20x30cm,"")</f>
        <v>100</v>
      </c>
    </row>
    <row r="76" spans="1:3" x14ac:dyDescent="0.2">
      <c r="A76" s="159"/>
      <c r="B76" t="s">
        <v>854</v>
      </c>
      <c r="C76" s="324">
        <f>IF(ShowStaticListPrice,PrixTray25x35cm,"")</f>
        <v>107</v>
      </c>
    </row>
    <row r="77" spans="1:3" x14ac:dyDescent="0.2">
      <c r="A77" s="146"/>
      <c r="B77" t="s">
        <v>855</v>
      </c>
      <c r="C77" s="324">
        <f>IF(ShowStaticListPrice,PrixTray30x40cm,"")</f>
        <v>135</v>
      </c>
    </row>
    <row r="78" spans="1:3" x14ac:dyDescent="0.2">
      <c r="A78" s="152"/>
      <c r="B78" s="152"/>
      <c r="C78" s="327"/>
    </row>
    <row r="79" spans="1:3" x14ac:dyDescent="0.2">
      <c r="A79" s="152"/>
      <c r="B79" t="s">
        <v>362</v>
      </c>
      <c r="C79" s="324">
        <f>IF(ShowStaticListPrice,Calc!A46,"")</f>
        <v>1327</v>
      </c>
    </row>
    <row r="80" spans="1:3" x14ac:dyDescent="0.2">
      <c r="A80" s="152"/>
      <c r="B80" t="s">
        <v>200</v>
      </c>
      <c r="C80" s="324">
        <f>IF(ShowStaticListPrice,Calc!A47,"")</f>
        <v>1866</v>
      </c>
    </row>
    <row r="81" spans="1:3" x14ac:dyDescent="0.2">
      <c r="A81" s="152"/>
      <c r="B81" t="s">
        <v>201</v>
      </c>
      <c r="C81" s="324">
        <f>IF(ShowStaticListPrice,Calc!A48,"")</f>
        <v>2848</v>
      </c>
    </row>
    <row r="82" spans="1:3" x14ac:dyDescent="0.2">
      <c r="A82" s="155"/>
      <c r="B82" s="155"/>
      <c r="C82" s="328"/>
    </row>
    <row r="83" spans="1:3" x14ac:dyDescent="0.2">
      <c r="A83" s="155"/>
      <c r="B83" t="s">
        <v>202</v>
      </c>
      <c r="C83" s="324">
        <f>IF(ShowStaticListPrice,Calc!A49,"")</f>
        <v>1427</v>
      </c>
    </row>
    <row r="84" spans="1:3" x14ac:dyDescent="0.2">
      <c r="A84" s="155"/>
      <c r="B84" t="s">
        <v>203</v>
      </c>
      <c r="C84" s="324">
        <f>IF(ShowStaticListPrice,Calc!A50,"")</f>
        <v>2331</v>
      </c>
    </row>
    <row r="85" spans="1:3" x14ac:dyDescent="0.2">
      <c r="A85" s="155"/>
      <c r="B85" t="s">
        <v>204</v>
      </c>
      <c r="C85" s="324">
        <f>IF(ShowStaticListPrice,Calc!A51,"")</f>
        <v>4131</v>
      </c>
    </row>
    <row r="86" spans="1:3" x14ac:dyDescent="0.2">
      <c r="A86" s="155"/>
      <c r="B86" t="s">
        <v>856</v>
      </c>
      <c r="C86" s="324">
        <f>IF(AND(ShowStaticListPrice,Checkbox_WithScan),
N("PrixSoftware")+INDEX(C$83:C$85,MATCH(LEFT($B86,FIND(" ",$B86,FIND(" ",$B86)+1))&amp;"*",$B$83:$B$85,0))+
IF(ISNUMBER(SEARCH("STD4800",$B86)),IF(COLUMN(A$1)=1,PrixSTD+PrixBlBgSTD,ROUND(PrixSTD_Dist+PrixBlBgSTD*(1-RebateHardware),0)),0)+
IF(ISNUMBER(SEARCH("LA2400",$B86)),IF(COLUMN(A$1)=1,PrixLA+PrixBlBgLA,ROUND(PrixLA_Dist+PrixBlBgLA*(1-RebateHardware),0)),0)+
IF(ISNUMBER(SEARCH(IF(Francais,"et LS","and SLS"),$B86)),IF(COLUMN(A$1)=1,PrixTPU,PrixTPU_Dist),0)+
IF(ISNUMBER(SEARCH(IF(Francais,"Sans Scanner (STD)","Without Scanner (STD)"),$B86)),IF(COLUMN(A$1)=1,PrixBlBgSTD+STD_GenCalib_Drivers_Instr_Techsup,ROUND((PrixBlBgSTD)*(1-RebateHardware)+STD_GenCalib_Drivers_Instr_Techsup*(1-RebateCalibScanner),0)),0)+
IF(ISNUMBER(SEARCH(IF(Francais,"Sans Scanner (LA)","Without Scanner (LA)"),$B86)),IF(COLUMN(A$1)=1,PrixBlBgLA+LA_GenCalib_Drivers_Instr_Techsup,ROUND((PrixBlBgLA)*(1-RebateHardware)+LA_GenCalib_Drivers_Instr_Techsup*(1-RebateCalibScanner),0)),0),
"")</f>
        <v>3214</v>
      </c>
    </row>
    <row r="87" spans="1:3" x14ac:dyDescent="0.2">
      <c r="A87" s="155"/>
      <c r="B87" t="s">
        <v>857</v>
      </c>
      <c r="C87" s="324">
        <f>IF(AND(ShowStaticListPrice,Checkbox_WithScan),
N("PrixSoftware")+INDEX(C$83:C$85,MATCH(LEFT($B87,FIND(" ",$B87,FIND(" ",$B87)+1))&amp;"*",$B$83:$B$85,0))+
IF(ISNUMBER(SEARCH("STD4800",$B87)),IF(COLUMN(A$1)=1,PrixSTD+PrixBlBgSTD,ROUND(PrixSTD_Dist+PrixBlBgSTD*(1-RebateHardware),0)),0)+
IF(ISNUMBER(SEARCH("LA2400",$B87)),IF(COLUMN(A$1)=1,PrixLA+PrixBlBgLA,ROUND(PrixLA_Dist+PrixBlBgLA*(1-RebateHardware),0)),0)+
IF(ISNUMBER(SEARCH(IF(Francais,"et LS","and SLS"),$B87)),IF(COLUMN(A$1)=1,PrixTPU,PrixTPU_Dist),0)+
IF(ISNUMBER(SEARCH(IF(Francais,"Sans Scanner (STD)","Without Scanner (STD)"),$B87)),IF(COLUMN(A$1)=1,PrixBlBgSTD+STD_GenCalib_Drivers_Instr_Techsup,ROUND((PrixBlBgSTD)*(1-RebateHardware)+STD_GenCalib_Drivers_Instr_Techsup*(1-RebateCalibScanner),0)),0)+
IF(ISNUMBER(SEARCH(IF(Francais,"Sans Scanner (LA)","Without Scanner (LA)"),$B87)),IF(COLUMN(A$1)=1,PrixBlBgLA+LA_GenCalib_Drivers_Instr_Techsup,ROUND((PrixBlBgLA)*(1-RebateHardware)+LA_GenCalib_Drivers_Instr_Techsup*(1-RebateCalibScanner),0)),0),
"")</f>
        <v>6423</v>
      </c>
    </row>
    <row r="88" spans="1:3" x14ac:dyDescent="0.2">
      <c r="A88" s="155"/>
      <c r="B88" t="s">
        <v>858</v>
      </c>
      <c r="C88" s="324">
        <f>IF(AND(ShowStaticListPrice,Checkbox_WithScan),
N("PrixSoftware")+INDEX(C$83:C$85,MATCH(LEFT($B88,FIND(" ",$B88,FIND(" ",$B88)+1))&amp;"*",$B$83:$B$85,0))+
IF(ISNUMBER(SEARCH("STD4800",$B88)),IF(COLUMN(A$1)=1,PrixSTD+PrixBlBgSTD,ROUND(PrixSTD_Dist+PrixBlBgSTD*(1-RebateHardware),0)),0)+
IF(ISNUMBER(SEARCH("LA2400",$B88)),IF(COLUMN(A$1)=1,PrixLA+PrixBlBgLA,ROUND(PrixLA_Dist+PrixBlBgLA*(1-RebateHardware),0)),0)+
IF(ISNUMBER(SEARCH(IF(Francais,"et LS","and SLS"),$B88)),IF(COLUMN(A$1)=1,PrixTPU,PrixTPU_Dist),0)+
IF(ISNUMBER(SEARCH(IF(Francais,"Sans Scanner (STD)","Without Scanner (STD)"),$B88)),IF(COLUMN(A$1)=1,PrixBlBgSTD+STD_GenCalib_Drivers_Instr_Techsup,ROUND((PrixBlBgSTD)*(1-RebateHardware)+STD_GenCalib_Drivers_Instr_Techsup*(1-RebateCalibScanner),0)),0)+
IF(ISNUMBER(SEARCH(IF(Francais,"Sans Scanner (LA)","Without Scanner (LA)"),$B88)),IF(COLUMN(A$1)=1,PrixBlBgLA+LA_GenCalib_Drivers_Instr_Techsup,ROUND((PrixBlBgLA)*(1-RebateHardware)+LA_GenCalib_Drivers_Instr_Techsup*(1-RebateCalibScanner),0)),0),
"")</f>
        <v>7246</v>
      </c>
    </row>
    <row r="89" spans="1:3" x14ac:dyDescent="0.2">
      <c r="A89" s="155"/>
      <c r="B89" t="s">
        <v>859</v>
      </c>
      <c r="C89" s="324">
        <f>IF(AND(ShowStaticListPrice,Checkbox_SansScanner),
N("PrixSoftware")+INDEX(C$83:C$85,MATCH(LEFT($B89,FIND(" ",$B89,FIND(" ",$B89)+1))&amp;"*",$B$83:$B$85,0))+
IF(ISNUMBER(SEARCH("STD4800",$B89)),IF(COLUMN(A$1)=1,PrixSTD+PrixBlBgSTD,ROUND(PrixSTD_Dist+PrixBlBgSTD*(1-RebateHardware),0)),0)+
IF(ISNUMBER(SEARCH("LA2400",$B89)),IF(COLUMN(A$1)=1,PrixLA+PrixBlBgLA,ROUND(PrixLA_Dist+PrixBlBgLA*(1-RebateHardware),0)),0)+
IF(ISNUMBER(SEARCH(IF(Francais,"et LS","and SLS"),$B89)),IF(COLUMN(A$1)=1,PrixTPU,PrixTPU_Dist),0)+
IF(ISNUMBER(SEARCH(IF(Francais,"Sans Scanner (STD)","Without Scanner (STD)"),$B89)),IF(COLUMN(A$1)=1,PrixBlBgSTD+STD_GenCalib_Drivers_Instr_Techsup,ROUND((PrixBlBgSTD)*(1-RebateHardware)+STD_GenCalib_Drivers_Instr_Techsup*(1-RebateCalibScanner),0)),0)+
IF(ISNUMBER(SEARCH(IF(Francais,"Sans Scanner (LA)","Without Scanner (LA)"),$B89)),IF(COLUMN(A$1)=1,PrixBlBgLA+LA_GenCalib_Drivers_Instr_Techsup,ROUND((PrixBlBgLA)*(1-RebateHardware)+LA_GenCalib_Drivers_Instr_Techsup*(1-RebateCalibScanner),0)),0),
"")</f>
        <v>1613</v>
      </c>
    </row>
    <row r="90" spans="1:3" x14ac:dyDescent="0.2">
      <c r="A90" s="155"/>
      <c r="B90" t="s">
        <v>860</v>
      </c>
      <c r="C90" s="324">
        <f>IF(AND(ShowStaticListPrice,Checkbox_SansScanner),
N("PrixSoftware")+INDEX(C$83:C$85,MATCH(LEFT($B90,FIND(" ",$B90,FIND(" ",$B90)+1))&amp;"*",$B$83:$B$85,0))+
IF(ISNUMBER(SEARCH("STD4800",$B90)),IF(COLUMN(A$1)=1,PrixSTD+PrixBlBgSTD,ROUND(PrixSTD_Dist+PrixBlBgSTD*(1-RebateHardware),0)),0)+
IF(ISNUMBER(SEARCH("LA2400",$B90)),IF(COLUMN(A$1)=1,PrixLA+PrixBlBgLA,ROUND(PrixLA_Dist+PrixBlBgLA*(1-RebateHardware),0)),0)+
IF(ISNUMBER(SEARCH(IF(Francais,"et LS","and SLS"),$B90)),IF(COLUMN(A$1)=1,PrixTPU,PrixTPU_Dist),0)+
IF(ISNUMBER(SEARCH(IF(Francais,"Sans Scanner (STD)","Without Scanner (STD)"),$B90)),IF(COLUMN(A$1)=1,PrixBlBgSTD+STD_GenCalib_Drivers_Instr_Techsup,ROUND((PrixBlBgSTD)*(1-RebateHardware)+STD_GenCalib_Drivers_Instr_Techsup*(1-RebateCalibScanner),0)),0)+
IF(ISNUMBER(SEARCH(IF(Francais,"Sans Scanner (LA)","Without Scanner (LA)"),$B90)),IF(COLUMN(A$1)=1,PrixBlBgLA+LA_GenCalib_Drivers_Instr_Techsup,ROUND((PrixBlBgLA)*(1-RebateHardware)+LA_GenCalib_Drivers_Instr_Techsup*(1-RebateCalibScanner),0)),0),
"")</f>
        <v>1636</v>
      </c>
    </row>
    <row r="91" spans="1:3" x14ac:dyDescent="0.2">
      <c r="A91" s="155"/>
      <c r="B91" t="s">
        <v>861</v>
      </c>
      <c r="C91" s="324">
        <f>IF(AND(ShowStaticListPrice,Checkbox_WithScan),
N("PrixSoftware")+INDEX(C$83:C$85,MATCH(LEFT($B91,FIND(" ",$B91,FIND(" ",$B91)+1))&amp;"*",$B$83:$B$85,0))+
IF(ISNUMBER(SEARCH("STD4800",$B91)),IF(COLUMN(A$1)=1,PrixSTD+PrixBlBgSTD,ROUND(PrixSTD_Dist+PrixBlBgSTD*(1-RebateHardware),0)),0)+
IF(ISNUMBER(SEARCH("LA2400",$B91)),IF(COLUMN(A$1)=1,PrixLA+PrixBlBgLA,ROUND(PrixLA_Dist+PrixBlBgLA*(1-RebateHardware),0)),0)+
IF(ISNUMBER(SEARCH(IF(Francais,"et LS","and SLS"),$B91)),IF(COLUMN(A$1)=1,PrixTPU,PrixTPU_Dist),0)+
IF(ISNUMBER(SEARCH(IF(Francais,"Sans Scanner (STD)","Without Scanner (STD)"),$B91)),IF(COLUMN(A$1)=1,PrixBlBgSTD+STD_GenCalib_Drivers_Instr_Techsup,ROUND((PrixBlBgSTD)*(1-RebateHardware)+STD_GenCalib_Drivers_Instr_Techsup*(1-RebateCalibScanner),0)),0)+
IF(ISNUMBER(SEARCH(IF(Francais,"Sans Scanner (LA)","Without Scanner (LA)"),$B91)),IF(COLUMN(A$1)=1,PrixBlBgLA+LA_GenCalib_Drivers_Instr_Techsup,ROUND((PrixBlBgLA)*(1-RebateHardware)+LA_GenCalib_Drivers_Instr_Techsup*(1-RebateCalibScanner),0)),0),
"")</f>
        <v>4118</v>
      </c>
    </row>
    <row r="92" spans="1:3" x14ac:dyDescent="0.2">
      <c r="A92" s="155"/>
      <c r="B92" t="s">
        <v>862</v>
      </c>
      <c r="C92" s="324">
        <f>IF(AND(ShowStaticListPrice,Checkbox_WithScan),
N("PrixSoftware")+INDEX(C$83:C$85,MATCH(LEFT($B92,FIND(" ",$B92,FIND(" ",$B92)+1))&amp;"*",$B$83:$B$85,0))+
IF(ISNUMBER(SEARCH("STD4800",$B92)),IF(COLUMN(A$1)=1,PrixSTD+PrixBlBgSTD,ROUND(PrixSTD_Dist+PrixBlBgSTD*(1-RebateHardware),0)),0)+
IF(ISNUMBER(SEARCH("LA2400",$B92)),IF(COLUMN(A$1)=1,PrixLA+PrixBlBgLA,ROUND(PrixLA_Dist+PrixBlBgLA*(1-RebateHardware),0)),0)+
IF(ISNUMBER(SEARCH(IF(Francais,"et LS","and SLS"),$B92)),IF(COLUMN(A$1)=1,PrixTPU,PrixTPU_Dist),0)+
IF(ISNUMBER(SEARCH(IF(Francais,"Sans Scanner (STD)","Without Scanner (STD)"),$B92)),IF(COLUMN(A$1)=1,PrixBlBgSTD+STD_GenCalib_Drivers_Instr_Techsup,ROUND((PrixBlBgSTD)*(1-RebateHardware)+STD_GenCalib_Drivers_Instr_Techsup*(1-RebateCalibScanner),0)),0)+
IF(ISNUMBER(SEARCH(IF(Francais,"Sans Scanner (LA)","Without Scanner (LA)"),$B92)),IF(COLUMN(A$1)=1,PrixBlBgLA+LA_GenCalib_Drivers_Instr_Techsup,ROUND((PrixBlBgLA)*(1-RebateHardware)+LA_GenCalib_Drivers_Instr_Techsup*(1-RebateCalibScanner),0)),0),
"")</f>
        <v>7327</v>
      </c>
    </row>
    <row r="93" spans="1:3" x14ac:dyDescent="0.2">
      <c r="A93" s="155"/>
      <c r="B93" t="s">
        <v>863</v>
      </c>
      <c r="C93" s="324">
        <f>IF(AND(ShowStaticListPrice,Checkbox_WithScan),
N("PrixSoftware")+INDEX(C$83:C$85,MATCH(LEFT($B93,FIND(" ",$B93,FIND(" ",$B93)+1))&amp;"*",$B$83:$B$85,0))+
IF(ISNUMBER(SEARCH("STD4800",$B93)),IF(COLUMN(A$1)=1,PrixSTD+PrixBlBgSTD,ROUND(PrixSTD_Dist+PrixBlBgSTD*(1-RebateHardware),0)),0)+
IF(ISNUMBER(SEARCH("LA2400",$B93)),IF(COLUMN(A$1)=1,PrixLA+PrixBlBgLA,ROUND(PrixLA_Dist+PrixBlBgLA*(1-RebateHardware),0)),0)+
IF(ISNUMBER(SEARCH(IF(Francais,"et LS","and SLS"),$B93)),IF(COLUMN(A$1)=1,PrixTPU,PrixTPU_Dist),0)+
IF(ISNUMBER(SEARCH(IF(Francais,"Sans Scanner (STD)","Without Scanner (STD)"),$B93)),IF(COLUMN(A$1)=1,PrixBlBgSTD+STD_GenCalib_Drivers_Instr_Techsup,ROUND((PrixBlBgSTD)*(1-RebateHardware)+STD_GenCalib_Drivers_Instr_Techsup*(1-RebateCalibScanner),0)),0)+
IF(ISNUMBER(SEARCH(IF(Francais,"Sans Scanner (LA)","Without Scanner (LA)"),$B93)),IF(COLUMN(A$1)=1,PrixBlBgLA+LA_GenCalib_Drivers_Instr_Techsup,ROUND((PrixBlBgLA)*(1-RebateHardware)+LA_GenCalib_Drivers_Instr_Techsup*(1-RebateCalibScanner),0)),0),
"")</f>
        <v>8150</v>
      </c>
    </row>
    <row r="94" spans="1:3" x14ac:dyDescent="0.2">
      <c r="A94" s="155"/>
      <c r="B94" t="s">
        <v>864</v>
      </c>
      <c r="C94" s="324">
        <f>IF(AND(ShowStaticListPrice,Checkbox_SansScanner),
N("PrixSoftware")+INDEX(C$83:C$85,MATCH(LEFT($B94,FIND(" ",$B94,FIND(" ",$B94)+1))&amp;"*",$B$83:$B$85,0))+
IF(ISNUMBER(SEARCH("STD4800",$B94)),IF(COLUMN(A$1)=1,PrixSTD+PrixBlBgSTD,ROUND(PrixSTD_Dist+PrixBlBgSTD*(1-RebateHardware),0)),0)+
IF(ISNUMBER(SEARCH("LA2400",$B94)),IF(COLUMN(A$1)=1,PrixLA+PrixBlBgLA,ROUND(PrixLA_Dist+PrixBlBgLA*(1-RebateHardware),0)),0)+
IF(ISNUMBER(SEARCH(IF(Francais,"et LS","and SLS"),$B94)),IF(COLUMN(A$1)=1,PrixTPU,PrixTPU_Dist),0)+
IF(ISNUMBER(SEARCH(IF(Francais,"Sans Scanner (STD)","Without Scanner (STD)"),$B94)),IF(COLUMN(A$1)=1,PrixBlBgSTD+STD_GenCalib_Drivers_Instr_Techsup,ROUND((PrixBlBgSTD)*(1-RebateHardware)+STD_GenCalib_Drivers_Instr_Techsup*(1-RebateCalibScanner),0)),0)+
IF(ISNUMBER(SEARCH(IF(Francais,"Sans Scanner (LA)","Without Scanner (LA)"),$B94)),IF(COLUMN(A$1)=1,PrixBlBgLA+LA_GenCalib_Drivers_Instr_Techsup,ROUND((PrixBlBgLA)*(1-RebateHardware)+LA_GenCalib_Drivers_Instr_Techsup*(1-RebateCalibScanner),0)),0),
"")</f>
        <v>2517</v>
      </c>
    </row>
    <row r="95" spans="1:3" x14ac:dyDescent="0.2">
      <c r="A95" s="155"/>
      <c r="B95" t="s">
        <v>865</v>
      </c>
      <c r="C95" s="324">
        <f>IF(AND(ShowStaticListPrice,Checkbox_SansScanner),
N("PrixSoftware")+INDEX(C$83:C$85,MATCH(LEFT($B95,FIND(" ",$B95,FIND(" ",$B95)+1))&amp;"*",$B$83:$B$85,0))+
IF(ISNUMBER(SEARCH("STD4800",$B95)),IF(COLUMN(A$1)=1,PrixSTD+PrixBlBgSTD,ROUND(PrixSTD_Dist+PrixBlBgSTD*(1-RebateHardware),0)),0)+
IF(ISNUMBER(SEARCH("LA2400",$B95)),IF(COLUMN(A$1)=1,PrixLA+PrixBlBgLA,ROUND(PrixLA_Dist+PrixBlBgLA*(1-RebateHardware),0)),0)+
IF(ISNUMBER(SEARCH(IF(Francais,"et LS","and SLS"),$B95)),IF(COLUMN(A$1)=1,PrixTPU,PrixTPU_Dist),0)+
IF(ISNUMBER(SEARCH(IF(Francais,"Sans Scanner (STD)","Without Scanner (STD)"),$B95)),IF(COLUMN(A$1)=1,PrixBlBgSTD+STD_GenCalib_Drivers_Instr_Techsup,ROUND((PrixBlBgSTD)*(1-RebateHardware)+STD_GenCalib_Drivers_Instr_Techsup*(1-RebateCalibScanner),0)),0)+
IF(ISNUMBER(SEARCH(IF(Francais,"Sans Scanner (LA)","Without Scanner (LA)"),$B95)),IF(COLUMN(A$1)=1,PrixBlBgLA+LA_GenCalib_Drivers_Instr_Techsup,ROUND((PrixBlBgLA)*(1-RebateHardware)+LA_GenCalib_Drivers_Instr_Techsup*(1-RebateCalibScanner),0)),0),
"")</f>
        <v>2540</v>
      </c>
    </row>
    <row r="96" spans="1:3" x14ac:dyDescent="0.2">
      <c r="A96" s="155"/>
      <c r="B96" t="s">
        <v>866</v>
      </c>
      <c r="C96" s="324">
        <f>IF(AND(ShowStaticListPrice,Checkbox_WithScan),
N("PrixSoftware")+INDEX(C$83:C$85,MATCH(LEFT($B96,FIND(" ",$B96,FIND(" ",$B96)+1))&amp;"*",$B$83:$B$85,0))+
IF(ISNUMBER(SEARCH("STD4800",$B96)),IF(COLUMN(A$1)=1,PrixSTD+PrixBlBgSTD,ROUND(PrixSTD_Dist+PrixBlBgSTD*(1-RebateHardware),0)),0)+
IF(ISNUMBER(SEARCH("LA2400",$B96)),IF(COLUMN(A$1)=1,PrixLA+PrixBlBgLA,ROUND(PrixLA_Dist+PrixBlBgLA*(1-RebateHardware),0)),0)+
IF(ISNUMBER(SEARCH(IF(Francais,"et LS","and SLS"),$B96)),IF(COLUMN(A$1)=1,PrixTPU,PrixTPU_Dist),0)+
IF(ISNUMBER(SEARCH(IF(Francais,"Sans Scanner (STD)","Without Scanner (STD)"),$B96)),IF(COLUMN(A$1)=1,PrixBlBgSTD+STD_GenCalib_Drivers_Instr_Techsup,ROUND((PrixBlBgSTD)*(1-RebateHardware)+STD_GenCalib_Drivers_Instr_Techsup*(1-RebateCalibScanner),0)),0)+
IF(ISNUMBER(SEARCH(IF(Francais,"Sans Scanner (LA)","Without Scanner (LA)"),$B96)),IF(COLUMN(A$1)=1,PrixBlBgLA+LA_GenCalib_Drivers_Instr_Techsup,ROUND((PrixBlBgLA)*(1-RebateHardware)+LA_GenCalib_Drivers_Instr_Techsup*(1-RebateCalibScanner),0)),0),
"")</f>
        <v>5918</v>
      </c>
    </row>
    <row r="97" spans="1:3" x14ac:dyDescent="0.2">
      <c r="A97" s="155"/>
      <c r="B97" t="s">
        <v>867</v>
      </c>
      <c r="C97" s="324">
        <f>IF(AND(ShowStaticListPrice,Checkbox_WithScan),
N("PrixSoftware")+INDEX(C$83:C$85,MATCH(LEFT($B97,FIND(" ",$B97,FIND(" ",$B97)+1))&amp;"*",$B$83:$B$85,0))+
IF(ISNUMBER(SEARCH("STD4800",$B97)),IF(COLUMN(A$1)=1,PrixSTD+PrixBlBgSTD,ROUND(PrixSTD_Dist+PrixBlBgSTD*(1-RebateHardware),0)),0)+
IF(ISNUMBER(SEARCH("LA2400",$B97)),IF(COLUMN(A$1)=1,PrixLA+PrixBlBgLA,ROUND(PrixLA_Dist+PrixBlBgLA*(1-RebateHardware),0)),0)+
IF(ISNUMBER(SEARCH(IF(Francais,"et LS","and SLS"),$B97)),IF(COLUMN(A$1)=1,PrixTPU,PrixTPU_Dist),0)+
IF(ISNUMBER(SEARCH(IF(Francais,"Sans Scanner (STD)","Without Scanner (STD)"),$B97)),IF(COLUMN(A$1)=1,PrixBlBgSTD+STD_GenCalib_Drivers_Instr_Techsup,ROUND((PrixBlBgSTD)*(1-RebateHardware)+STD_GenCalib_Drivers_Instr_Techsup*(1-RebateCalibScanner),0)),0)+
IF(ISNUMBER(SEARCH(IF(Francais,"Sans Scanner (LA)","Without Scanner (LA)"),$B97)),IF(COLUMN(A$1)=1,PrixBlBgLA+LA_GenCalib_Drivers_Instr_Techsup,ROUND((PrixBlBgLA)*(1-RebateHardware)+LA_GenCalib_Drivers_Instr_Techsup*(1-RebateCalibScanner),0)),0),
"")</f>
        <v>9127</v>
      </c>
    </row>
    <row r="98" spans="1:3" x14ac:dyDescent="0.2">
      <c r="A98" s="155"/>
      <c r="B98" t="s">
        <v>868</v>
      </c>
      <c r="C98" s="324">
        <f>IF(AND(ShowStaticListPrice,Checkbox_WithScan),
N("PrixSoftware")+INDEX(C$83:C$85,MATCH(LEFT($B98,FIND(" ",$B98,FIND(" ",$B98)+1))&amp;"*",$B$83:$B$85,0))+
IF(ISNUMBER(SEARCH("STD4800",$B98)),IF(COLUMN(A$1)=1,PrixSTD+PrixBlBgSTD,ROUND(PrixSTD_Dist+PrixBlBgSTD*(1-RebateHardware),0)),0)+
IF(ISNUMBER(SEARCH("LA2400",$B98)),IF(COLUMN(A$1)=1,PrixLA+PrixBlBgLA,ROUND(PrixLA_Dist+PrixBlBgLA*(1-RebateHardware),0)),0)+
IF(ISNUMBER(SEARCH(IF(Francais,"et LS","and SLS"),$B98)),IF(COLUMN(A$1)=1,PrixTPU,PrixTPU_Dist),0)+
IF(ISNUMBER(SEARCH(IF(Francais,"Sans Scanner (STD)","Without Scanner (STD)"),$B98)),IF(COLUMN(A$1)=1,PrixBlBgSTD+STD_GenCalib_Drivers_Instr_Techsup,ROUND((PrixBlBgSTD)*(1-RebateHardware)+STD_GenCalib_Drivers_Instr_Techsup*(1-RebateCalibScanner),0)),0)+
IF(ISNUMBER(SEARCH(IF(Francais,"Sans Scanner (LA)","Without Scanner (LA)"),$B98)),IF(COLUMN(A$1)=1,PrixBlBgLA+LA_GenCalib_Drivers_Instr_Techsup,ROUND((PrixBlBgLA)*(1-RebateHardware)+LA_GenCalib_Drivers_Instr_Techsup*(1-RebateCalibScanner),0)),0),
"")</f>
        <v>9950</v>
      </c>
    </row>
    <row r="99" spans="1:3" x14ac:dyDescent="0.2">
      <c r="A99" s="155"/>
      <c r="B99" t="s">
        <v>869</v>
      </c>
      <c r="C99" s="324">
        <f>IF(AND(ShowStaticListPrice,Checkbox_SansScanner),
N("PrixSoftware")+INDEX(C$83:C$85,MATCH(LEFT($B99,FIND(" ",$B99,FIND(" ",$B99)+1))&amp;"*",$B$83:$B$85,0))+
IF(ISNUMBER(SEARCH("STD4800",$B99)),IF(COLUMN(A$1)=1,PrixSTD+PrixBlBgSTD,ROUND(PrixSTD_Dist+PrixBlBgSTD*(1-RebateHardware),0)),0)+
IF(ISNUMBER(SEARCH("LA2400",$B99)),IF(COLUMN(A$1)=1,PrixLA+PrixBlBgLA,ROUND(PrixLA_Dist+PrixBlBgLA*(1-RebateHardware),0)),0)+
IF(ISNUMBER(SEARCH(IF(Francais,"et LS","and SLS"),$B99)),IF(COLUMN(A$1)=1,PrixTPU,PrixTPU_Dist),0)+
IF(ISNUMBER(SEARCH(IF(Francais,"Sans Scanner (STD)","Without Scanner (STD)"),$B99)),IF(COLUMN(A$1)=1,PrixBlBgSTD+STD_GenCalib_Drivers_Instr_Techsup,ROUND((PrixBlBgSTD)*(1-RebateHardware)+STD_GenCalib_Drivers_Instr_Techsup*(1-RebateCalibScanner),0)),0)+
IF(ISNUMBER(SEARCH(IF(Francais,"Sans Scanner (LA)","Without Scanner (LA)"),$B99)),IF(COLUMN(A$1)=1,PrixBlBgLA+LA_GenCalib_Drivers_Instr_Techsup,ROUND((PrixBlBgLA)*(1-RebateHardware)+LA_GenCalib_Drivers_Instr_Techsup*(1-RebateCalibScanner),0)),0),
"")</f>
        <v>4317</v>
      </c>
    </row>
    <row r="100" spans="1:3" x14ac:dyDescent="0.2">
      <c r="A100" s="155"/>
      <c r="B100" t="s">
        <v>870</v>
      </c>
      <c r="C100" s="324">
        <f>IF(AND(ShowStaticListPrice,Checkbox_SansScanner),
N("PrixSoftware")+INDEX(C$83:C$85,MATCH(LEFT($B100,FIND(" ",$B100,FIND(" ",$B100)+1))&amp;"*",$B$83:$B$85,0))+
IF(ISNUMBER(SEARCH("STD4800",$B100)),IF(COLUMN(A$1)=1,PrixSTD+PrixBlBgSTD,ROUND(PrixSTD_Dist+PrixBlBgSTD*(1-RebateHardware),0)),0)+
IF(ISNUMBER(SEARCH("LA2400",$B100)),IF(COLUMN(A$1)=1,PrixLA+PrixBlBgLA,ROUND(PrixLA_Dist+PrixBlBgLA*(1-RebateHardware),0)),0)+
IF(ISNUMBER(SEARCH(IF(Francais,"et LS","and SLS"),$B100)),IF(COLUMN(A$1)=1,PrixTPU,PrixTPU_Dist),0)+
IF(ISNUMBER(SEARCH(IF(Francais,"Sans Scanner (STD)","Without Scanner (STD)"),$B100)),IF(COLUMN(A$1)=1,PrixBlBgSTD+STD_GenCalib_Drivers_Instr_Techsup,ROUND((PrixBlBgSTD)*(1-RebateHardware)+STD_GenCalib_Drivers_Instr_Techsup*(1-RebateCalibScanner),0)),0)+
IF(ISNUMBER(SEARCH(IF(Francais,"Sans Scanner (LA)","Without Scanner (LA)"),$B100)),IF(COLUMN(A$1)=1,PrixBlBgLA+LA_GenCalib_Drivers_Instr_Techsup,ROUND((PrixBlBgLA)*(1-RebateHardware)+LA_GenCalib_Drivers_Instr_Techsup*(1-RebateCalibScanner),0)),0),
"")</f>
        <v>4340</v>
      </c>
    </row>
    <row r="101" spans="1:3" x14ac:dyDescent="0.2">
      <c r="A101" s="155"/>
      <c r="B101" t="s">
        <v>871</v>
      </c>
      <c r="C101" s="324">
        <f>IF(AND(ShowStaticListPrice,Checkbox_WithScan),
N("PrixSoftware")+INDEX(Calc!A$49:A$51,MATCH(LEFT($B101,FIND(" ",$B101,FIND(" ",$B101)+1))&amp;"*",{"WinFOLIA™ Basic 32&amp;64bit";"WinFOLIA™ Reg 32&amp;64bit";"WinFOLIA™ Pro 32&amp;64bit"},0))
+PrixLC+PrixBlBgLC,
"")</f>
        <v>1663</v>
      </c>
    </row>
    <row r="102" spans="1:3" x14ac:dyDescent="0.2">
      <c r="A102" s="155"/>
      <c r="B102" t="s">
        <v>872</v>
      </c>
      <c r="C102" s="324">
        <f>IF(AND(ShowStaticListPrice,Checkbox_WithScan),
N("PrixSoftware")+INDEX(Calc!A$49:A$51,MATCH(LEFT($B102,FIND(" ",$B102,FIND(" ",$B102)+1))&amp;"*",{"WinFOLIA™ Basic 32&amp;64bit";"WinFOLIA™ Reg 32&amp;64bit";"WinFOLIA™ Pro 32&amp;64bit"},0))
+PrixLC+PrixBlBgLC,
"")</f>
        <v>2567</v>
      </c>
    </row>
    <row r="103" spans="1:3" x14ac:dyDescent="0.2">
      <c r="A103" s="155"/>
      <c r="B103" t="s">
        <v>873</v>
      </c>
      <c r="C103" s="324">
        <f>IF(AND(ShowStaticListPrice,Checkbox_WithScan),
N("PrixSoftware")+INDEX(Calc!A$49:A$51,MATCH(LEFT($B103,FIND(" ",$B103,FIND(" ",$B103)+1))&amp;"*",{"WinFOLIA™ Basic 32&amp;64bit";"WinFOLIA™ Reg 32&amp;64bit";"WinFOLIA™ Pro 32&amp;64bit"},0))
+PrixLC+PrixBlBgLC,
"")</f>
        <v>4367</v>
      </c>
    </row>
    <row r="104" spans="1:3" x14ac:dyDescent="0.2">
      <c r="A104" s="155"/>
      <c r="B104" t="s">
        <v>874</v>
      </c>
      <c r="C104" s="324">
        <f>IF(AND(ShowStaticListPrice,Checkbox_SansScanner),
N("PrixSoftware")+INDEX(Calc!A$49:A$51,MATCH(LEFT($B104,FIND(" ",$B104,FIND(" ",$B104)+1))&amp;"*",{"WinFOLIA™ Basic 32&amp;64bit";"WinFOLIA™ Reg 32&amp;64bit";"WinFOLIA™ Pro 32&amp;64bit"},0))
+LC_GenCalib_Drivers_Instr_Techsup+PrixBlBgLC,
"")</f>
        <v>1554</v>
      </c>
    </row>
    <row r="105" spans="1:3" x14ac:dyDescent="0.2">
      <c r="A105" s="155"/>
      <c r="B105" t="s">
        <v>875</v>
      </c>
      <c r="C105" s="324">
        <f>IF(AND(ShowStaticListPrice,Checkbox_SansScanner),
N("PrixSoftware")+INDEX(Calc!A$49:A$51,MATCH(LEFT($B105,FIND(" ",$B105,FIND(" ",$B105)+1))&amp;"*",{"WinFOLIA™ Basic 32&amp;64bit";"WinFOLIA™ Reg 32&amp;64bit";"WinFOLIA™ Pro 32&amp;64bit"},0))
+LC_GenCalib_Drivers_Instr_Techsup+PrixBlBgLC,
"")</f>
        <v>2458</v>
      </c>
    </row>
    <row r="106" spans="1:3" x14ac:dyDescent="0.2">
      <c r="A106" s="155"/>
      <c r="B106" t="s">
        <v>876</v>
      </c>
      <c r="C106" s="324">
        <f>IF(AND(ShowStaticListPrice,Checkbox_SansScanner),
N("PrixSoftware")+INDEX(Calc!A$49:A$51,MATCH(LEFT($B106,FIND(" ",$B106,FIND(" ",$B106)+1))&amp;"*",{"WinFOLIA™ Basic 32&amp;64bit";"WinFOLIA™ Reg 32&amp;64bit";"WinFOLIA™ Pro 32&amp;64bit"},0))
+LC_GenCalib_Drivers_Instr_Techsup+PrixBlBgLC,
"")</f>
        <v>4258</v>
      </c>
    </row>
    <row r="107" spans="1:3" x14ac:dyDescent="0.2">
      <c r="A107" s="330"/>
      <c r="B107" s="330"/>
      <c r="C107" s="330"/>
    </row>
    <row r="108" spans="1:3" x14ac:dyDescent="0.2">
      <c r="A108" s="330"/>
      <c r="B108" t="s">
        <v>364</v>
      </c>
      <c r="C108" s="324">
        <f>IF(ShowStaticListPrice,Calc!A55,"")</f>
        <v>1451</v>
      </c>
    </row>
    <row r="109" spans="1:3" x14ac:dyDescent="0.2">
      <c r="A109" s="330"/>
      <c r="B109" t="s">
        <v>365</v>
      </c>
      <c r="C109" s="324">
        <f>IF(ShowStaticListPrice,Calc!A56,"")</f>
        <v>1949</v>
      </c>
    </row>
    <row r="110" spans="1:3" x14ac:dyDescent="0.2">
      <c r="A110" s="330"/>
      <c r="B110" t="s">
        <v>212</v>
      </c>
      <c r="C110" s="324">
        <f>IF(ShowStaticListPrice,Calc!A57,"")</f>
        <v>2944</v>
      </c>
    </row>
    <row r="111" spans="1:3" x14ac:dyDescent="0.2">
      <c r="A111" s="330"/>
      <c r="B111" t="s">
        <v>877</v>
      </c>
      <c r="C111" s="324">
        <f>IF(AND(ShowStaticListPrice,Checkbox_WithScan),
N("PrixSoftware")+INDEX(C$108:C$110,MATCH(LEFT($B111,FIND(" ",$B111,FIND(" ",$B111)+7))&amp;"*",$B$108:$B$110,0))+
IF(ISNUMBER(SEARCH("STD4800",$B111)),IF(COLUMN(A$1)=1,PrixSTD+PrixBlBgSTD,ROUND(PrixSTD_Dist+PrixBlBgSTD*(1-RebateHardware),0)),0)+
IF(ISNUMBER(SEARCH("LA2400",$B111)),IF(COLUMN(A$1)=1,PrixLA+PrixBlBgLA,ROUND(PrixLA_Dist+PrixBlBgLA*(1-RebateHardware),0)),0)+
IF(ISNUMBER(SEARCH(IF(Francais,"et LS","and SLS"),$B111)),IF(COLUMN(A$1)=1,PrixTPU,PrixTPU_Dist),0)+
IF(ISNUMBER(SEARCH(IF(Francais,"Sans Scanner (STD)","Without Scanner (STD)"),$B111)),IF(COLUMN(A$1)=1,PrixBlBgSTD+STD_GenCalib_Drivers_Instr_Techsup,ROUND((PrixBlBgSTD)*(1-RebateHardware)+STD_GenCalib_Drivers_Instr_Techsup*(1-RebateCalibScanner),0)),0)+
IF(ISNUMBER(SEARCH(IF(Francais,"Sans Scanner (LA)","Without Scanner (LA)"),$B111)),IF(COLUMN(A$1)=1,PrixBlBgLA+LA_GenCalib_Drivers_Instr_Techsup,ROUND((PrixBlBgLA)*(1-RebateHardware)+LA_GenCalib_Drivers_Instr_Techsup*(1-RebateCalibScanner),0)),0),
"")</f>
        <v>3238</v>
      </c>
    </row>
    <row r="112" spans="1:3" x14ac:dyDescent="0.2">
      <c r="A112" s="330"/>
      <c r="B112" t="s">
        <v>878</v>
      </c>
      <c r="C112" s="324">
        <f>IF(AND(ShowStaticListPrice,Checkbox_WithScan),
N("PrixSoftware")+INDEX(C$108:C$110,MATCH(LEFT($B112,FIND(" ",$B112,FIND(" ",$B112)+7))&amp;"*",$B$108:$B$110,0))+
IF(ISNUMBER(SEARCH("STD4800",$B112)),IF(COLUMN(A$1)=1,PrixSTD+PrixBlBgSTD,ROUND(PrixSTD_Dist+PrixBlBgSTD*(1-RebateHardware),0)),0)+
IF(ISNUMBER(SEARCH("LA2400",$B112)),IF(COLUMN(A$1)=1,PrixLA+PrixBlBgLA,ROUND(PrixLA_Dist+PrixBlBgLA*(1-RebateHardware),0)),0)+
IF(ISNUMBER(SEARCH(IF(Francais,"et LS","and SLS"),$B112)),IF(COLUMN(A$1)=1,PrixTPU,PrixTPU_Dist),0)+
IF(ISNUMBER(SEARCH(IF(Francais,"Sans Scanner (STD)","Without Scanner (STD)"),$B112)),IF(COLUMN(A$1)=1,PrixBlBgSTD+STD_GenCalib_Drivers_Instr_Techsup,ROUND((PrixBlBgSTD)*(1-RebateHardware)+STD_GenCalib_Drivers_Instr_Techsup*(1-RebateCalibScanner),0)),0)+
IF(ISNUMBER(SEARCH(IF(Francais,"Sans Scanner (LA)","Without Scanner (LA)"),$B112)),IF(COLUMN(A$1)=1,PrixBlBgLA+LA_GenCalib_Drivers_Instr_Techsup,ROUND((PrixBlBgLA)*(1-RebateHardware)+LA_GenCalib_Drivers_Instr_Techsup*(1-RebateCalibScanner),0)),0),
"")</f>
        <v>6447</v>
      </c>
    </row>
    <row r="113" spans="1:3" x14ac:dyDescent="0.2">
      <c r="A113" s="330"/>
      <c r="B113" t="s">
        <v>879</v>
      </c>
      <c r="C113" s="324">
        <f>IF(AND(ShowStaticListPrice,Checkbox_WithScan),
N("PrixSoftware")+INDEX(C$108:C$110,MATCH(LEFT($B113,FIND(" ",$B113,FIND(" ",$B113)+7))&amp;"*",$B$108:$B$110,0))+
IF(ISNUMBER(SEARCH("STD4800",$B113)),IF(COLUMN(A$1)=1,PrixSTD+PrixBlBgSTD,ROUND(PrixSTD_Dist+PrixBlBgSTD*(1-RebateHardware),0)),0)+
IF(ISNUMBER(SEARCH("LA2400",$B113)),IF(COLUMN(A$1)=1,PrixLA+PrixBlBgLA,ROUND(PrixLA_Dist+PrixBlBgLA*(1-RebateHardware),0)),0)+
IF(ISNUMBER(SEARCH(IF(Francais,"et LS","and SLS"),$B113)),IF(COLUMN(A$1)=1,PrixTPU,PrixTPU_Dist),0)+
IF(ISNUMBER(SEARCH(IF(Francais,"Sans Scanner (STD)","Without Scanner (STD)"),$B113)),IF(COLUMN(A$1)=1,PrixBlBgSTD+STD_GenCalib_Drivers_Instr_Techsup,ROUND((PrixBlBgSTD)*(1-RebateHardware)+STD_GenCalib_Drivers_Instr_Techsup*(1-RebateCalibScanner),0)),0)+
IF(ISNUMBER(SEARCH(IF(Francais,"Sans Scanner (LA)","Without Scanner (LA)"),$B113)),IF(COLUMN(A$1)=1,PrixBlBgLA+LA_GenCalib_Drivers_Instr_Techsup,ROUND((PrixBlBgLA)*(1-RebateHardware)+LA_GenCalib_Drivers_Instr_Techsup*(1-RebateCalibScanner),0)),0),
"")</f>
        <v>7270</v>
      </c>
    </row>
    <row r="114" spans="1:3" x14ac:dyDescent="0.2">
      <c r="A114" s="330"/>
      <c r="B114" t="s">
        <v>880</v>
      </c>
      <c r="C114" s="324">
        <f>IF(AND(ShowStaticListPrice,Checkbox_SansScanner),
N("PrixSoftware")+INDEX(C$108:C$110,MATCH(LEFT($B114,FIND(" ",$B114,FIND(" ",$B114)+7))&amp;"*",$B$108:$B$110,0))+
IF(ISNUMBER(SEARCH("STD4800",$B114)),IF(COLUMN(A$1)=1,PrixSTD+PrixBlBgSTD,ROUND(PrixSTD_Dist+PrixBlBgSTD*(1-RebateHardware),0)),0)+
IF(ISNUMBER(SEARCH("LA2400",$B114)),IF(COLUMN(A$1)=1,PrixLA+PrixBlBgLA,ROUND(PrixLA_Dist+PrixBlBgLA*(1-RebateHardware),0)),0)+
IF(ISNUMBER(SEARCH(IF(Francais,"et LS","and SLS"),$B114)),IF(COLUMN(A$1)=1,PrixTPU,PrixTPU_Dist),0)+
IF(ISNUMBER(SEARCH(IF(Francais,"Sans Scanner (STD)","Without Scanner (STD)"),$B114)),IF(COLUMN(A$1)=1,PrixBlBgSTD+STD_GenCalib_Drivers_Instr_Techsup,ROUND((PrixBlBgSTD)*(1-RebateHardware)+STD_GenCalib_Drivers_Instr_Techsup*(1-RebateCalibScanner),0)),0)+
IF(ISNUMBER(SEARCH(IF(Francais,"Sans Scanner (LA)","Without Scanner (LA)"),$B114)),IF(COLUMN(A$1)=1,PrixBlBgLA+LA_GenCalib_Drivers_Instr_Techsup,ROUND((PrixBlBgLA)*(1-RebateHardware)+LA_GenCalib_Drivers_Instr_Techsup*(1-RebateCalibScanner),0)),0),
"")</f>
        <v>1637</v>
      </c>
    </row>
    <row r="115" spans="1:3" x14ac:dyDescent="0.2">
      <c r="A115" s="330"/>
      <c r="B115" t="s">
        <v>881</v>
      </c>
      <c r="C115" s="324">
        <f>IF(AND(ShowStaticListPrice,Checkbox_SansScanner),
N("PrixSoftware")+INDEX(C$108:C$110,MATCH(LEFT($B115,FIND(" ",$B115,FIND(" ",$B115)+7))&amp;"*",$B$108:$B$110,0))+
IF(ISNUMBER(SEARCH("STD4800",$B115)),IF(COLUMN(A$1)=1,PrixSTD+PrixBlBgSTD,ROUND(PrixSTD_Dist+PrixBlBgSTD*(1-RebateHardware),0)),0)+
IF(ISNUMBER(SEARCH("LA2400",$B115)),IF(COLUMN(A$1)=1,PrixLA+PrixBlBgLA,ROUND(PrixLA_Dist+PrixBlBgLA*(1-RebateHardware),0)),0)+
IF(ISNUMBER(SEARCH(IF(Francais,"et LS","and SLS"),$B115)),IF(COLUMN(A$1)=1,PrixTPU,PrixTPU_Dist),0)+
IF(ISNUMBER(SEARCH(IF(Francais,"Sans Scanner (STD)","Without Scanner (STD)"),$B115)),IF(COLUMN(A$1)=1,PrixBlBgSTD+STD_GenCalib_Drivers_Instr_Techsup,ROUND((PrixBlBgSTD)*(1-RebateHardware)+STD_GenCalib_Drivers_Instr_Techsup*(1-RebateCalibScanner),0)),0)+
IF(ISNUMBER(SEARCH(IF(Francais,"Sans Scanner (LA)","Without Scanner (LA)"),$B115)),IF(COLUMN(A$1)=1,PrixBlBgLA+LA_GenCalib_Drivers_Instr_Techsup,ROUND((PrixBlBgLA)*(1-RebateHardware)+LA_GenCalib_Drivers_Instr_Techsup*(1-RebateCalibScanner),0)),0),
"")</f>
        <v>1660</v>
      </c>
    </row>
    <row r="116" spans="1:3" x14ac:dyDescent="0.2">
      <c r="A116" s="330"/>
      <c r="B116" t="s">
        <v>882</v>
      </c>
      <c r="C116" s="324">
        <f>IF(AND(ShowStaticListPrice,Checkbox_WithScan),
N("PrixSoftware")+INDEX(C$108:C$110,MATCH(LEFT($B116,FIND(" ",$B116,FIND(" ",$B116)+7))&amp;"*",$B$108:$B$110,0))+
IF(ISNUMBER(SEARCH("STD4800",$B116)),IF(COLUMN(A$1)=1,PrixSTD+PrixBlBgSTD,ROUND(PrixSTD_Dist+PrixBlBgSTD*(1-RebateHardware),0)),0)+
IF(ISNUMBER(SEARCH("LA2400",$B116)),IF(COLUMN(A$1)=1,PrixLA+PrixBlBgLA,ROUND(PrixLA_Dist+PrixBlBgLA*(1-RebateHardware),0)),0)+
IF(ISNUMBER(SEARCH(IF(Francais,"et LS","and SLS"),$B116)),IF(COLUMN(A$1)=1,PrixTPU,PrixTPU_Dist),0)+
IF(ISNUMBER(SEARCH(IF(Francais,"Sans Scanner (STD)","Without Scanner (STD)"),$B116)),IF(COLUMN(A$1)=1,PrixBlBgSTD+STD_GenCalib_Drivers_Instr_Techsup,ROUND((PrixBlBgSTD)*(1-RebateHardware)+STD_GenCalib_Drivers_Instr_Techsup*(1-RebateCalibScanner),0)),0)+
IF(ISNUMBER(SEARCH(IF(Francais,"Sans Scanner (LA)","Without Scanner (LA)"),$B116)),IF(COLUMN(A$1)=1,PrixBlBgLA+LA_GenCalib_Drivers_Instr_Techsup,ROUND((PrixBlBgLA)*(1-RebateHardware)+LA_GenCalib_Drivers_Instr_Techsup*(1-RebateCalibScanner),0)),0),
"")</f>
        <v>3736</v>
      </c>
    </row>
    <row r="117" spans="1:3" x14ac:dyDescent="0.2">
      <c r="A117" s="330"/>
      <c r="B117" t="s">
        <v>883</v>
      </c>
      <c r="C117" s="324">
        <f>IF(AND(ShowStaticListPrice,Checkbox_WithScan),
N("PrixSoftware")+INDEX(C$108:C$110,MATCH(LEFT($B117,FIND(" ",$B117,FIND(" ",$B117)+7))&amp;"*",$B$108:$B$110,0))+
IF(ISNUMBER(SEARCH("STD4800",$B117)),IF(COLUMN(A$1)=1,PrixSTD+PrixBlBgSTD,ROUND(PrixSTD_Dist+PrixBlBgSTD*(1-RebateHardware),0)),0)+
IF(ISNUMBER(SEARCH("LA2400",$B117)),IF(COLUMN(A$1)=1,PrixLA+PrixBlBgLA,ROUND(PrixLA_Dist+PrixBlBgLA*(1-RebateHardware),0)),0)+
IF(ISNUMBER(SEARCH(IF(Francais,"et LS","and SLS"),$B117)),IF(COLUMN(A$1)=1,PrixTPU,PrixTPU_Dist),0)+
IF(ISNUMBER(SEARCH(IF(Francais,"Sans Scanner (STD)","Without Scanner (STD)"),$B117)),IF(COLUMN(A$1)=1,PrixBlBgSTD+STD_GenCalib_Drivers_Instr_Techsup,ROUND((PrixBlBgSTD)*(1-RebateHardware)+STD_GenCalib_Drivers_Instr_Techsup*(1-RebateCalibScanner),0)),0)+
IF(ISNUMBER(SEARCH(IF(Francais,"Sans Scanner (LA)","Without Scanner (LA)"),$B117)),IF(COLUMN(A$1)=1,PrixBlBgLA+LA_GenCalib_Drivers_Instr_Techsup,ROUND((PrixBlBgLA)*(1-RebateHardware)+LA_GenCalib_Drivers_Instr_Techsup*(1-RebateCalibScanner),0)),0),
"")</f>
        <v>6945</v>
      </c>
    </row>
    <row r="118" spans="1:3" x14ac:dyDescent="0.2">
      <c r="A118" s="330"/>
      <c r="B118" t="s">
        <v>884</v>
      </c>
      <c r="C118" s="324">
        <f>IF(AND(ShowStaticListPrice,Checkbox_WithScan),
N("PrixSoftware")+INDEX(C$108:C$110,MATCH(LEFT($B118,FIND(" ",$B118,FIND(" ",$B118)+7))&amp;"*",$B$108:$B$110,0))+
IF(ISNUMBER(SEARCH("STD4800",$B118)),IF(COLUMN(A$1)=1,PrixSTD+PrixBlBgSTD,ROUND(PrixSTD_Dist+PrixBlBgSTD*(1-RebateHardware),0)),0)+
IF(ISNUMBER(SEARCH("LA2400",$B118)),IF(COLUMN(A$1)=1,PrixLA+PrixBlBgLA,ROUND(PrixLA_Dist+PrixBlBgLA*(1-RebateHardware),0)),0)+
IF(ISNUMBER(SEARCH(IF(Francais,"et LS","and SLS"),$B118)),IF(COLUMN(A$1)=1,PrixTPU,PrixTPU_Dist),0)+
IF(ISNUMBER(SEARCH(IF(Francais,"Sans Scanner (STD)","Without Scanner (STD)"),$B118)),IF(COLUMN(A$1)=1,PrixBlBgSTD+STD_GenCalib_Drivers_Instr_Techsup,ROUND((PrixBlBgSTD)*(1-RebateHardware)+STD_GenCalib_Drivers_Instr_Techsup*(1-RebateCalibScanner),0)),0)+
IF(ISNUMBER(SEARCH(IF(Francais,"Sans Scanner (LA)","Without Scanner (LA)"),$B118)),IF(COLUMN(A$1)=1,PrixBlBgLA+LA_GenCalib_Drivers_Instr_Techsup,ROUND((PrixBlBgLA)*(1-RebateHardware)+LA_GenCalib_Drivers_Instr_Techsup*(1-RebateCalibScanner),0)),0),
"")</f>
        <v>7768</v>
      </c>
    </row>
    <row r="119" spans="1:3" x14ac:dyDescent="0.2">
      <c r="A119" s="330"/>
      <c r="B119" t="s">
        <v>885</v>
      </c>
      <c r="C119" s="324">
        <f>IF(AND(ShowStaticListPrice,Checkbox_SansScanner),
N("PrixSoftware")+INDEX(C$108:C$110,MATCH(LEFT($B119,FIND(" ",$B119,FIND(" ",$B119)+7))&amp;"*",$B$108:$B$110,0))+
IF(ISNUMBER(SEARCH("STD4800",$B119)),IF(COLUMN(A$1)=1,PrixSTD+PrixBlBgSTD,ROUND(PrixSTD_Dist+PrixBlBgSTD*(1-RebateHardware),0)),0)+
IF(ISNUMBER(SEARCH("LA2400",$B119)),IF(COLUMN(A$1)=1,PrixLA+PrixBlBgLA,ROUND(PrixLA_Dist+PrixBlBgLA*(1-RebateHardware),0)),0)+
IF(ISNUMBER(SEARCH(IF(Francais,"et LS","and SLS"),$B119)),IF(COLUMN(A$1)=1,PrixTPU,PrixTPU_Dist),0)+
IF(ISNUMBER(SEARCH(IF(Francais,"Sans Scanner (STD)","Without Scanner (STD)"),$B119)),IF(COLUMN(A$1)=1,PrixBlBgSTD+STD_GenCalib_Drivers_Instr_Techsup,ROUND((PrixBlBgSTD)*(1-RebateHardware)+STD_GenCalib_Drivers_Instr_Techsup*(1-RebateCalibScanner),0)),0)+
IF(ISNUMBER(SEARCH(IF(Francais,"Sans Scanner (LA)","Without Scanner (LA)"),$B119)),IF(COLUMN(A$1)=1,PrixBlBgLA+LA_GenCalib_Drivers_Instr_Techsup,ROUND((PrixBlBgLA)*(1-RebateHardware)+LA_GenCalib_Drivers_Instr_Techsup*(1-RebateCalibScanner),0)),0),
"")</f>
        <v>2135</v>
      </c>
    </row>
    <row r="120" spans="1:3" x14ac:dyDescent="0.2">
      <c r="A120" s="330"/>
      <c r="B120" t="s">
        <v>886</v>
      </c>
      <c r="C120" s="324">
        <f>IF(AND(ShowStaticListPrice,Checkbox_SansScanner),
N("PrixSoftware")+INDEX(C$108:C$110,MATCH(LEFT($B120,FIND(" ",$B120,FIND(" ",$B120)+7))&amp;"*",$B$108:$B$110,0))+
IF(ISNUMBER(SEARCH("STD4800",$B120)),IF(COLUMN(A$1)=1,PrixSTD+PrixBlBgSTD,ROUND(PrixSTD_Dist+PrixBlBgSTD*(1-RebateHardware),0)),0)+
IF(ISNUMBER(SEARCH("LA2400",$B120)),IF(COLUMN(A$1)=1,PrixLA+PrixBlBgLA,ROUND(PrixLA_Dist+PrixBlBgLA*(1-RebateHardware),0)),0)+
IF(ISNUMBER(SEARCH(IF(Francais,"et LS","and SLS"),$B120)),IF(COLUMN(A$1)=1,PrixTPU,PrixTPU_Dist),0)+
IF(ISNUMBER(SEARCH(IF(Francais,"Sans Scanner (STD)","Without Scanner (STD)"),$B120)),IF(COLUMN(A$1)=1,PrixBlBgSTD+STD_GenCalib_Drivers_Instr_Techsup,ROUND((PrixBlBgSTD)*(1-RebateHardware)+STD_GenCalib_Drivers_Instr_Techsup*(1-RebateCalibScanner),0)),0)+
IF(ISNUMBER(SEARCH(IF(Francais,"Sans Scanner (LA)","Without Scanner (LA)"),$B120)),IF(COLUMN(A$1)=1,PrixBlBgLA+LA_GenCalib_Drivers_Instr_Techsup,ROUND((PrixBlBgLA)*(1-RebateHardware)+LA_GenCalib_Drivers_Instr_Techsup*(1-RebateCalibScanner),0)),0),
"")</f>
        <v>2158</v>
      </c>
    </row>
    <row r="121" spans="1:3" x14ac:dyDescent="0.2">
      <c r="A121" s="330"/>
      <c r="B121" t="s">
        <v>887</v>
      </c>
      <c r="C121" s="324">
        <f>IF(AND(ShowStaticListPrice,Checkbox_WithScan),
N("PrixSoftware")+INDEX(C$108:C$110,MATCH(LEFT($B121,FIND(" ",$B121,FIND(" ",$B121)+7))&amp;"*",$B$108:$B$110,0))+
IF(ISNUMBER(SEARCH("STD4800",$B121)),IF(COLUMN(A$1)=1,PrixSTD+PrixBlBgSTD,ROUND(PrixSTD_Dist+PrixBlBgSTD*(1-RebateHardware),0)),0)+
IF(ISNUMBER(SEARCH("LA2400",$B121)),IF(COLUMN(A$1)=1,PrixLA+PrixBlBgLA,ROUND(PrixLA_Dist+PrixBlBgLA*(1-RebateHardware),0)),0)+
IF(ISNUMBER(SEARCH(IF(Francais,"et LS","and SLS"),$B121)),IF(COLUMN(A$1)=1,PrixTPU,PrixTPU_Dist),0)+
IF(ISNUMBER(SEARCH(IF(Francais,"Sans Scanner (STD)","Without Scanner (STD)"),$B121)),IF(COLUMN(A$1)=1,PrixBlBgSTD+STD_GenCalib_Drivers_Instr_Techsup,ROUND((PrixBlBgSTD)*(1-RebateHardware)+STD_GenCalib_Drivers_Instr_Techsup*(1-RebateCalibScanner),0)),0)+
IF(ISNUMBER(SEARCH(IF(Francais,"Sans Scanner (LA)","Without Scanner (LA)"),$B121)),IF(COLUMN(A$1)=1,PrixBlBgLA+LA_GenCalib_Drivers_Instr_Techsup,ROUND((PrixBlBgLA)*(1-RebateHardware)+LA_GenCalib_Drivers_Instr_Techsup*(1-RebateCalibScanner),0)),0),
"")</f>
        <v>4731</v>
      </c>
    </row>
    <row r="122" spans="1:3" x14ac:dyDescent="0.2">
      <c r="A122" s="330"/>
      <c r="B122" t="s">
        <v>888</v>
      </c>
      <c r="C122" s="324">
        <f>IF(AND(ShowStaticListPrice,Checkbox_WithScan),
N("PrixSoftware")+INDEX(C$108:C$110,MATCH(LEFT($B122,FIND(" ",$B122,FIND(" ",$B122)+7))&amp;"*",$B$108:$B$110,0))+
IF(ISNUMBER(SEARCH("STD4800",$B122)),IF(COLUMN(A$1)=1,PrixSTD+PrixBlBgSTD,ROUND(PrixSTD_Dist+PrixBlBgSTD*(1-RebateHardware),0)),0)+
IF(ISNUMBER(SEARCH("LA2400",$B122)),IF(COLUMN(A$1)=1,PrixLA+PrixBlBgLA,ROUND(PrixLA_Dist+PrixBlBgLA*(1-RebateHardware),0)),0)+
IF(ISNUMBER(SEARCH(IF(Francais,"et LS","and SLS"),$B122)),IF(COLUMN(A$1)=1,PrixTPU,PrixTPU_Dist),0)+
IF(ISNUMBER(SEARCH(IF(Francais,"Sans Scanner (STD)","Without Scanner (STD)"),$B122)),IF(COLUMN(A$1)=1,PrixBlBgSTD+STD_GenCalib_Drivers_Instr_Techsup,ROUND((PrixBlBgSTD)*(1-RebateHardware)+STD_GenCalib_Drivers_Instr_Techsup*(1-RebateCalibScanner),0)),0)+
IF(ISNUMBER(SEARCH(IF(Francais,"Sans Scanner (LA)","Without Scanner (LA)"),$B122)),IF(COLUMN(A$1)=1,PrixBlBgLA+LA_GenCalib_Drivers_Instr_Techsup,ROUND((PrixBlBgLA)*(1-RebateHardware)+LA_GenCalib_Drivers_Instr_Techsup*(1-RebateCalibScanner),0)),0),
"")</f>
        <v>7940</v>
      </c>
    </row>
    <row r="123" spans="1:3" x14ac:dyDescent="0.2">
      <c r="A123" s="330"/>
      <c r="B123" t="s">
        <v>889</v>
      </c>
      <c r="C123" s="324">
        <f>IF(AND(ShowStaticListPrice,Checkbox_WithScan),
N("PrixSoftware")+INDEX(C$108:C$110,MATCH(LEFT($B123,FIND(" ",$B123,FIND(" ",$B123)+7))&amp;"*",$B$108:$B$110,0))+
IF(ISNUMBER(SEARCH("STD4800",$B123)),IF(COLUMN(A$1)=1,PrixSTD+PrixBlBgSTD,ROUND(PrixSTD_Dist+PrixBlBgSTD*(1-RebateHardware),0)),0)+
IF(ISNUMBER(SEARCH("LA2400",$B123)),IF(COLUMN(A$1)=1,PrixLA+PrixBlBgLA,ROUND(PrixLA_Dist+PrixBlBgLA*(1-RebateHardware),0)),0)+
IF(ISNUMBER(SEARCH(IF(Francais,"et LS","and SLS"),$B123)),IF(COLUMN(A$1)=1,PrixTPU,PrixTPU_Dist),0)+
IF(ISNUMBER(SEARCH(IF(Francais,"Sans Scanner (STD)","Without Scanner (STD)"),$B123)),IF(COLUMN(A$1)=1,PrixBlBgSTD+STD_GenCalib_Drivers_Instr_Techsup,ROUND((PrixBlBgSTD)*(1-RebateHardware)+STD_GenCalib_Drivers_Instr_Techsup*(1-RebateCalibScanner),0)),0)+
IF(ISNUMBER(SEARCH(IF(Francais,"Sans Scanner (LA)","Without Scanner (LA)"),$B123)),IF(COLUMN(A$1)=1,PrixBlBgLA+LA_GenCalib_Drivers_Instr_Techsup,ROUND((PrixBlBgLA)*(1-RebateHardware)+LA_GenCalib_Drivers_Instr_Techsup*(1-RebateCalibScanner),0)),0),
"")</f>
        <v>8763</v>
      </c>
    </row>
    <row r="124" spans="1:3" x14ac:dyDescent="0.2">
      <c r="A124" s="330"/>
      <c r="B124" t="s">
        <v>890</v>
      </c>
      <c r="C124" s="324">
        <f>IF(AND(ShowStaticListPrice,Checkbox_SansScanner),
N("PrixSoftware")+INDEX(C$108:C$110,MATCH(LEFT($B124,FIND(" ",$B124,FIND(" ",$B124)+7))&amp;"*",$B$108:$B$110,0))+
IF(ISNUMBER(SEARCH("STD4800",$B124)),IF(COLUMN(A$1)=1,PrixSTD+PrixBlBgSTD,ROUND(PrixSTD_Dist+PrixBlBgSTD*(1-RebateHardware),0)),0)+
IF(ISNUMBER(SEARCH("LA2400",$B124)),IF(COLUMN(A$1)=1,PrixLA+PrixBlBgLA,ROUND(PrixLA_Dist+PrixBlBgLA*(1-RebateHardware),0)),0)+
IF(ISNUMBER(SEARCH(IF(Francais,"et LS","and SLS"),$B124)),IF(COLUMN(A$1)=1,PrixTPU,PrixTPU_Dist),0)+
IF(ISNUMBER(SEARCH(IF(Francais,"Sans Scanner (STD)","Without Scanner (STD)"),$B124)),IF(COLUMN(A$1)=1,PrixBlBgSTD+STD_GenCalib_Drivers_Instr_Techsup,ROUND((PrixBlBgSTD)*(1-RebateHardware)+STD_GenCalib_Drivers_Instr_Techsup*(1-RebateCalibScanner),0)),0)+
IF(ISNUMBER(SEARCH(IF(Francais,"Sans Scanner (LA)","Without Scanner (LA)"),$B124)),IF(COLUMN(A$1)=1,PrixBlBgLA+LA_GenCalib_Drivers_Instr_Techsup,ROUND((PrixBlBgLA)*(1-RebateHardware)+LA_GenCalib_Drivers_Instr_Techsup*(1-RebateCalibScanner),0)),0),
"")</f>
        <v>3130</v>
      </c>
    </row>
    <row r="125" spans="1:3" x14ac:dyDescent="0.2">
      <c r="A125" s="330"/>
      <c r="B125" t="s">
        <v>891</v>
      </c>
      <c r="C125" s="324">
        <f>IF(AND(ShowStaticListPrice,Checkbox_SansScanner),
N("PrixSoftware")+INDEX(C$108:C$110,MATCH(LEFT($B125,FIND(" ",$B125,FIND(" ",$B125)+7))&amp;"*",$B$108:$B$110,0))+
IF(ISNUMBER(SEARCH("STD4800",$B125)),IF(COLUMN(A$1)=1,PrixSTD+PrixBlBgSTD,ROUND(PrixSTD_Dist+PrixBlBgSTD*(1-RebateHardware),0)),0)+
IF(ISNUMBER(SEARCH("LA2400",$B125)),IF(COLUMN(A$1)=1,PrixLA+PrixBlBgLA,ROUND(PrixLA_Dist+PrixBlBgLA*(1-RebateHardware),0)),0)+
IF(ISNUMBER(SEARCH(IF(Francais,"et LS","and SLS"),$B125)),IF(COLUMN(A$1)=1,PrixTPU,PrixTPU_Dist),0)+
IF(ISNUMBER(SEARCH(IF(Francais,"Sans Scanner (STD)","Without Scanner (STD)"),$B125)),IF(COLUMN(A$1)=1,PrixBlBgSTD+STD_GenCalib_Drivers_Instr_Techsup,ROUND((PrixBlBgSTD)*(1-RebateHardware)+STD_GenCalib_Drivers_Instr_Techsup*(1-RebateCalibScanner),0)),0)+
IF(ISNUMBER(SEARCH(IF(Francais,"Sans Scanner (LA)","Without Scanner (LA)"),$B125)),IF(COLUMN(A$1)=1,PrixBlBgLA+LA_GenCalib_Drivers_Instr_Techsup,ROUND((PrixBlBgLA)*(1-RebateHardware)+LA_GenCalib_Drivers_Instr_Techsup*(1-RebateCalibScanner),0)),0),
"")</f>
        <v>3153</v>
      </c>
    </row>
    <row r="126" spans="1:3" x14ac:dyDescent="0.2">
      <c r="A126" s="330"/>
      <c r="B126" t="s">
        <v>892</v>
      </c>
      <c r="C126" s="324">
        <f>IF(AND(ShowStaticListPrice,Checkbox_WithScan),
N("PrixSoftware")+INDEX(CAM_SoftwarePriceList,MATCH(LEFT($B126,FIND(" ",$B126,FIND(" ",$B126)+6))&amp;"*",{"WinCAM™ NDVI Basic 32&amp;64bit";"WinCAM™ NDVI Reg 32&amp;64bit";"WinCAM™ NDVI Pro 32&amp;64bit"},0))
+PrixLC+PrixBlBgLC,
"")</f>
        <v>1687</v>
      </c>
    </row>
    <row r="127" spans="1:3" x14ac:dyDescent="0.2">
      <c r="A127" s="330"/>
      <c r="B127" t="s">
        <v>893</v>
      </c>
      <c r="C127" s="324">
        <f>IF(AND(ShowStaticListPrice,Checkbox_WithScan),
N("PrixSoftware")+INDEX(CAM_SoftwarePriceList,MATCH(LEFT($B127,FIND(" ",$B127,FIND(" ",$B127)+6))&amp;"*",{"WinCAM™ NDVI Basic 32&amp;64bit";"WinCAM™ NDVI Reg 32&amp;64bit";"WinCAM™ NDVI Pro 32&amp;64bit"},0))
+PrixLC+PrixBlBgLC,
"")</f>
        <v>2185</v>
      </c>
    </row>
    <row r="128" spans="1:3" x14ac:dyDescent="0.2">
      <c r="A128" s="330"/>
      <c r="B128" t="s">
        <v>894</v>
      </c>
      <c r="C128" s="324">
        <f>IF(AND(ShowStaticListPrice,Checkbox_WithScan),
N("PrixSoftware")+INDEX(CAM_SoftwarePriceList,MATCH(LEFT($B128,FIND(" ",$B128,FIND(" ",$B128)+6))&amp;"*",{"WinCAM™ NDVI Basic 32&amp;64bit";"WinCAM™ NDVI Reg 32&amp;64bit";"WinCAM™ NDVI Pro 32&amp;64bit"},0))
+PrixLC+PrixBlBgLC,
"")</f>
        <v>3180</v>
      </c>
    </row>
    <row r="129" spans="1:3" x14ac:dyDescent="0.2">
      <c r="A129" s="330"/>
      <c r="B129" t="s">
        <v>895</v>
      </c>
      <c r="C129" s="324">
        <f>IF(AND(ShowStaticListPrice,Checkbox_SansScanner),
N("PrixSoftware")+INDEX(CAM_SoftwarePriceList,MATCH(LEFT($B129,FIND(" ",$B129,FIND(" ",$B129)+6))&amp;"*",{"WinCAM™ NDVI Basic 32&amp;64bit";"WinCAM™ NDVI Reg 32&amp;64bit";"WinCAM™ NDVI Pro 32&amp;64bit"},0))
+LC_GenCalib_Drivers_Instr_Techsup+PrixBlBgLC,
"")</f>
        <v>1578</v>
      </c>
    </row>
    <row r="130" spans="1:3" x14ac:dyDescent="0.2">
      <c r="A130" s="330"/>
      <c r="B130" t="s">
        <v>896</v>
      </c>
      <c r="C130" s="324">
        <f>IF(AND(ShowStaticListPrice,Checkbox_SansScanner),
N("PrixSoftware")+INDEX(CAM_SoftwarePriceList,MATCH(LEFT($B130,FIND(" ",$B130,FIND(" ",$B130)+6))&amp;"*",{"WinCAM™ NDVI Basic 32&amp;64bit";"WinCAM™ NDVI Reg 32&amp;64bit";"WinCAM™ NDVI Pro 32&amp;64bit"},0))
+LC_GenCalib_Drivers_Instr_Techsup+PrixBlBgLC,
"")</f>
        <v>2076</v>
      </c>
    </row>
    <row r="131" spans="1:3" x14ac:dyDescent="0.2">
      <c r="A131" s="330"/>
      <c r="B131" t="s">
        <v>897</v>
      </c>
      <c r="C131" s="324">
        <f>IF(AND(ShowStaticListPrice,Checkbox_SansScanner),
N("PrixSoftware")+INDEX(CAM_SoftwarePriceList,MATCH(LEFT($B131,FIND(" ",$B131,FIND(" ",$B131)+6))&amp;"*",{"WinCAM™ NDVI Basic 32&amp;64bit";"WinCAM™ NDVI Reg 32&amp;64bit";"WinCAM™ NDVI Pro 32&amp;64bit"},0))
+LC_GenCalib_Drivers_Instr_Techsup+PrixBlBgLC,
"")</f>
        <v>3071</v>
      </c>
    </row>
    <row r="132" spans="1:3" x14ac:dyDescent="0.2">
      <c r="A132" s="330"/>
      <c r="B132" s="40" t="s">
        <v>898</v>
      </c>
      <c r="C132" s="324"/>
    </row>
    <row r="133" spans="1:3" x14ac:dyDescent="0.2">
      <c r="A133" s="155"/>
      <c r="B133" t="s">
        <v>899</v>
      </c>
      <c r="C133" s="324">
        <f>IF(ShowStaticListPrice,Calc!$A$25,"")</f>
        <v>246</v>
      </c>
    </row>
    <row r="134" spans="1:3" x14ac:dyDescent="0.2">
      <c r="A134" s="330"/>
      <c r="B134" t="s">
        <v>900</v>
      </c>
      <c r="C134" s="324">
        <f>IF(ShowStaticListPrice,Calc!$A$26,"")</f>
        <v>457</v>
      </c>
    </row>
    <row r="135" spans="1:3" x14ac:dyDescent="0.2">
      <c r="A135" s="155"/>
      <c r="B135" t="s">
        <v>901</v>
      </c>
      <c r="C135" s="324">
        <f>IF(ShowStaticListPrice,Calc!$A$7,"")</f>
        <v>28</v>
      </c>
    </row>
    <row r="136" spans="1:3" x14ac:dyDescent="0.2">
      <c r="A136" s="330"/>
      <c r="B136" t="s">
        <v>902</v>
      </c>
      <c r="C136" s="324">
        <f>IF(ShowStaticListPrice,Calc!$A$8,"")</f>
        <v>51</v>
      </c>
    </row>
    <row r="137" spans="1:3" x14ac:dyDescent="0.2">
      <c r="A137" s="155"/>
      <c r="B137" t="s">
        <v>903</v>
      </c>
      <c r="C137" s="324">
        <f>IF(ShowStaticListPrice,Calc!$A$6,"")</f>
        <v>28</v>
      </c>
    </row>
    <row r="138" spans="1:3" x14ac:dyDescent="0.2">
      <c r="A138" s="166"/>
      <c r="B138" s="166"/>
      <c r="C138" s="331"/>
    </row>
    <row r="139" spans="1:3" x14ac:dyDescent="0.2">
      <c r="A139" s="166"/>
      <c r="B139" t="s">
        <v>207</v>
      </c>
      <c r="C139" s="324">
        <f>IF(ShowStaticListPrice,Calc!A58,"")</f>
        <v>1535</v>
      </c>
    </row>
    <row r="140" spans="1:3" x14ac:dyDescent="0.2">
      <c r="A140" s="166"/>
      <c r="B140" t="s">
        <v>208</v>
      </c>
      <c r="C140" s="324">
        <f>IF(ShowStaticListPrice,Calc!A59,"")</f>
        <v>2487</v>
      </c>
    </row>
    <row r="141" spans="1:3" x14ac:dyDescent="0.2">
      <c r="A141" s="166"/>
      <c r="B141" t="s">
        <v>209</v>
      </c>
      <c r="C141" s="324">
        <f>IF(ShowStaticListPrice,Calc!A60,"")</f>
        <v>4080</v>
      </c>
    </row>
    <row r="142" spans="1:3" x14ac:dyDescent="0.2">
      <c r="A142" s="166"/>
      <c r="B142" t="s">
        <v>904</v>
      </c>
      <c r="C142" s="324">
        <f>IF(ShowStaticListPrice,PrixGP27MiniTrepiedValise+C139,"")</f>
        <v>3090</v>
      </c>
    </row>
    <row r="143" spans="1:3" x14ac:dyDescent="0.2">
      <c r="A143" s="166"/>
      <c r="B143" t="s">
        <v>905</v>
      </c>
      <c r="C143" s="324">
        <f>IF(ShowStaticListPrice,PrixSLR24MiniTrepiedValise+C140,"")</f>
        <v>5111</v>
      </c>
    </row>
    <row r="144" spans="1:3" x14ac:dyDescent="0.2">
      <c r="A144" s="166"/>
      <c r="B144" t="s">
        <v>906</v>
      </c>
      <c r="C144" s="324">
        <f>IF(ShowStaticListPrice,PrixSLR24MiniTrepiedValise+C141,"")</f>
        <v>6704</v>
      </c>
    </row>
  </sheetData>
  <sheetProtection algorithmName="SHA-512" hashValue="wzaUapM+utgVoq9B2uDUMBlk2CSDegg1+XzBEf+ybgHKsj5pZUqXt5U1cg/A+gETbpXr2Knk7B6Fx/IVYLWSrQ==" saltValue="aIGDv42543O5AKnmUIiTXA==" spinCount="100000" sheet="1" objects="1" scenarios="1" selectLockedCells="1"/>
  <mergeCells count="1">
    <mergeCell ref="D44:D47"/>
  </mergeCells>
  <pageMargins left="0.7" right="0.7" top="0.75" bottom="0.75" header="0.3" footer="0.3"/>
  <pageSetup scale="60" fitToWidth="0" fitToHeight="2"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46433" r:id="rId4" name="CheckBoxStaticListPrice">
              <controlPr defaultSize="0" autoFill="0" autoLine="0" autoPict="0">
                <anchor moveWithCells="1" sizeWithCells="1">
                  <from>
                    <xdr:col>2</xdr:col>
                    <xdr:colOff>152400</xdr:colOff>
                    <xdr:row>2</xdr:row>
                    <xdr:rowOff>0</xdr:rowOff>
                  </from>
                  <to>
                    <xdr:col>3</xdr:col>
                    <xdr:colOff>0</xdr:colOff>
                    <xdr:row>3</xdr:row>
                    <xdr:rowOff>12700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tabColor theme="1" tint="0.34998626667073579"/>
  </sheetPr>
  <dimension ref="A1:AJ117"/>
  <sheetViews>
    <sheetView showGridLines="0" zoomScale="140" zoomScaleNormal="140" workbookViewId="0">
      <selection activeCell="P2" sqref="P2:Q2"/>
    </sheetView>
  </sheetViews>
  <sheetFormatPr baseColWidth="10" defaultColWidth="8.6640625" defaultRowHeight="16" x14ac:dyDescent="0.2"/>
  <cols>
    <col min="1" max="1" width="0.6640625" style="46" customWidth="1"/>
    <col min="2" max="3" width="3.5" style="46" customWidth="1"/>
    <col min="4" max="4" width="7.6640625" style="46" customWidth="1"/>
    <col min="5" max="5" width="3.5" style="46" customWidth="1"/>
    <col min="6" max="6" width="11.1640625" style="46" customWidth="1"/>
    <col min="7" max="7" width="1.1640625" style="46" customWidth="1"/>
    <col min="8" max="8" width="3.5" style="46" customWidth="1"/>
    <col min="9" max="9" width="11.1640625" style="46" customWidth="1"/>
    <col min="10" max="10" width="3.5" style="46" customWidth="1"/>
    <col min="11" max="11" width="11.1640625" style="46" customWidth="1"/>
    <col min="12" max="12" width="1.1640625" style="46" customWidth="1"/>
    <col min="13" max="15" width="5.1640625" style="46" customWidth="1"/>
    <col min="16" max="16" width="7.5" style="46" customWidth="1"/>
    <col min="17" max="17" width="9.5" style="46" customWidth="1"/>
    <col min="18" max="19" width="0.6640625" customWidth="1"/>
    <col min="20" max="21" width="3.5" customWidth="1"/>
    <col min="22" max="22" width="7.6640625" customWidth="1"/>
    <col min="23" max="23" width="3.5" customWidth="1"/>
    <col min="24" max="24" width="11.1640625" customWidth="1"/>
    <col min="25" max="25" width="1.1640625" customWidth="1"/>
    <col min="26" max="26" width="3.5" customWidth="1"/>
    <col min="27" max="27" width="11.1640625" customWidth="1"/>
    <col min="28" max="28" width="3.5" customWidth="1"/>
    <col min="29" max="29" width="11.1640625" customWidth="1"/>
    <col min="30" max="30" width="1.1640625" customWidth="1"/>
    <col min="31" max="33" width="5.1640625" customWidth="1"/>
    <col min="34" max="34" width="7.5" customWidth="1"/>
    <col min="35" max="35" width="9.5" customWidth="1"/>
    <col min="36" max="36" width="0.6640625" customWidth="1"/>
  </cols>
  <sheetData>
    <row r="1" spans="1:35" ht="21" customHeight="1" x14ac:dyDescent="0.2">
      <c r="M1" s="81" t="str">
        <f>IF(Francais,"Soumission #","Quote #")</f>
        <v>Soumission #</v>
      </c>
      <c r="N1" s="820" t="s">
        <v>770</v>
      </c>
      <c r="O1" s="820"/>
      <c r="P1" s="820"/>
      <c r="Q1" s="820"/>
      <c r="S1" s="46"/>
      <c r="T1" s="46"/>
      <c r="U1" s="46"/>
      <c r="V1" s="46"/>
      <c r="W1" s="46"/>
      <c r="X1" s="46"/>
      <c r="Y1" s="46"/>
      <c r="Z1" s="46"/>
      <c r="AA1" s="46"/>
      <c r="AB1" s="46"/>
      <c r="AC1" s="46"/>
      <c r="AD1" s="46"/>
      <c r="AE1" s="81" t="str">
        <f>M1</f>
        <v>Soumission #</v>
      </c>
      <c r="AF1" s="820" t="s">
        <v>770</v>
      </c>
      <c r="AG1" s="820"/>
      <c r="AH1" s="820"/>
      <c r="AI1" s="820"/>
    </row>
    <row r="2" spans="1:35" ht="12" customHeight="1" x14ac:dyDescent="0.2">
      <c r="L2" s="821" t="s">
        <v>16</v>
      </c>
      <c r="M2" s="821"/>
      <c r="N2" s="821"/>
      <c r="O2" s="821"/>
      <c r="P2" s="839" t="str">
        <f>TEXT("4/7/2026",IF(Francais,"[$-0C0C]d mmmm yyyy","[$-1009]mmmm d, yyyy"))</f>
        <v>4/7/2026</v>
      </c>
      <c r="Q2" s="839"/>
      <c r="S2" s="46"/>
      <c r="T2" s="46"/>
      <c r="U2" s="46"/>
      <c r="V2" s="46"/>
      <c r="W2" s="46"/>
      <c r="X2" s="46"/>
      <c r="Y2" s="46"/>
      <c r="Z2" s="46"/>
      <c r="AA2" s="46"/>
      <c r="AB2" s="46"/>
      <c r="AC2" s="46"/>
      <c r="AD2" s="821" t="s">
        <v>16</v>
      </c>
      <c r="AE2" s="821"/>
      <c r="AF2" s="821"/>
      <c r="AG2" s="821"/>
      <c r="AH2" s="840" t="str">
        <f>P2</f>
        <v>4/7/2026</v>
      </c>
      <c r="AI2" s="840"/>
    </row>
    <row r="3" spans="1:35" ht="12" customHeight="1" x14ac:dyDescent="0.2">
      <c r="B3" s="53"/>
      <c r="C3" s="53"/>
      <c r="I3" s="342" t="str">
        <f>IF(Distributeurs_Rabais,IF(Francais,"Prix","Distributor"),"")</f>
        <v/>
      </c>
      <c r="L3" s="821" t="str">
        <f>IF(Francais,"Date d'expiration","Expiration date")</f>
        <v>Date d'expiration</v>
      </c>
      <c r="M3" s="821"/>
      <c r="N3" s="821"/>
      <c r="O3" s="821"/>
      <c r="P3" s="840" t="s">
        <v>795</v>
      </c>
      <c r="Q3" s="840"/>
      <c r="S3" s="46"/>
      <c r="T3" s="53"/>
      <c r="U3" s="53"/>
      <c r="V3" s="46"/>
      <c r="W3" s="46"/>
      <c r="X3" s="46"/>
      <c r="Y3" s="46"/>
      <c r="Z3" s="46"/>
      <c r="AA3" s="342" t="str">
        <f>IF(Distributeurs_Rabais,IF(Francais,"Prix","Distributor"),"")</f>
        <v/>
      </c>
      <c r="AB3" s="46"/>
      <c r="AC3" s="46"/>
      <c r="AD3" s="821" t="str">
        <f>IF(Francais,"Date d'expiration","Expiration date")</f>
        <v>Date d'expiration</v>
      </c>
      <c r="AE3" s="821"/>
      <c r="AF3" s="821"/>
      <c r="AG3" s="821"/>
      <c r="AH3" s="840" t="str">
        <f>P3</f>
        <v>30 juin 2026</v>
      </c>
      <c r="AI3" s="840"/>
    </row>
    <row r="4" spans="1:35" ht="12" customHeight="1" x14ac:dyDescent="0.2">
      <c r="B4" s="54"/>
      <c r="C4" s="54"/>
      <c r="I4" s="342" t="str">
        <f>IF(Distributeurs_Rabais,IF(Francais,"Distributeur","Prices"),"")</f>
        <v/>
      </c>
      <c r="L4" s="821" t="str">
        <f>IF(Francais,"Terme","Payment Terms")</f>
        <v>Terme</v>
      </c>
      <c r="M4" s="821"/>
      <c r="N4" s="821"/>
      <c r="O4" s="821"/>
      <c r="P4" s="830" t="str">
        <f>IF(Francais,"Payable d'avance","in ADVANCE")</f>
        <v>Payable d'avance</v>
      </c>
      <c r="Q4" s="830"/>
      <c r="S4" s="46"/>
      <c r="T4" s="54"/>
      <c r="U4" s="54"/>
      <c r="V4" s="46"/>
      <c r="W4" s="46"/>
      <c r="X4" s="46"/>
      <c r="Y4" s="46"/>
      <c r="Z4" s="46"/>
      <c r="AA4" s="342" t="str">
        <f>IF(Distributeurs_Rabais,IF(Francais,"Distributeur","Prices"),"")</f>
        <v/>
      </c>
      <c r="AB4" s="46"/>
      <c r="AC4" s="46"/>
      <c r="AD4" s="821" t="str">
        <f>IF(Francais,"Terme","Payment Terms")</f>
        <v>Terme</v>
      </c>
      <c r="AE4" s="821"/>
      <c r="AF4" s="821"/>
      <c r="AG4" s="821"/>
      <c r="AH4" s="830" t="str">
        <f>P4</f>
        <v>Payable d'avance</v>
      </c>
      <c r="AI4" s="830"/>
    </row>
    <row r="5" spans="1:35" ht="12" customHeight="1" x14ac:dyDescent="0.2">
      <c r="B5" s="54"/>
      <c r="C5" s="54"/>
      <c r="H5"/>
      <c r="I5"/>
      <c r="J5" s="841"/>
      <c r="K5" s="841"/>
      <c r="L5" s="821" t="str">
        <f>IF(Francais,"# Client","Customer #")</f>
        <v># Client</v>
      </c>
      <c r="M5" s="821"/>
      <c r="N5" s="821"/>
      <c r="O5" s="821"/>
      <c r="P5" s="831" t="str">
        <f>IF(CustomerNumber="","",CustomerNumber)</f>
        <v/>
      </c>
      <c r="Q5" s="831"/>
      <c r="S5" s="46"/>
      <c r="T5" s="54"/>
      <c r="U5" s="54"/>
      <c r="V5" s="46"/>
      <c r="W5" s="46"/>
      <c r="X5" s="46"/>
      <c r="Y5" s="46"/>
      <c r="Z5" s="46"/>
      <c r="AB5" s="46"/>
      <c r="AC5" s="46"/>
      <c r="AD5" s="821" t="str">
        <f>IF(Francais,"# Client","Customer #")</f>
        <v># Client</v>
      </c>
      <c r="AE5" s="821"/>
      <c r="AF5" s="821"/>
      <c r="AG5" s="821"/>
      <c r="AH5" s="834" t="str">
        <f>IF(ISBLANK(P5),"",P5)</f>
        <v/>
      </c>
      <c r="AI5" s="834"/>
    </row>
    <row r="6" spans="1:35" ht="12" customHeight="1" x14ac:dyDescent="0.2">
      <c r="H6"/>
      <c r="I6"/>
      <c r="J6"/>
      <c r="K6"/>
      <c r="L6" s="821" t="str">
        <f>IF(Francais,"# PO","PO #")</f>
        <v># PO</v>
      </c>
      <c r="M6" s="821"/>
      <c r="N6" s="821"/>
      <c r="O6" s="821"/>
      <c r="P6" s="831"/>
      <c r="Q6" s="831"/>
      <c r="S6" s="46"/>
      <c r="T6" s="46"/>
      <c r="U6" s="46"/>
      <c r="V6" s="46"/>
      <c r="W6" s="46"/>
      <c r="X6" s="46"/>
      <c r="Y6" s="46"/>
      <c r="Z6" s="46"/>
      <c r="AA6" s="46"/>
      <c r="AB6" s="46"/>
      <c r="AC6" s="46"/>
      <c r="AD6" s="821" t="str">
        <f>IF(Francais,"# PO","PO #")</f>
        <v># PO</v>
      </c>
      <c r="AE6" s="821"/>
      <c r="AF6" s="821"/>
      <c r="AG6" s="821"/>
      <c r="AH6" s="834" t="str">
        <f>IF(ISBLANK(P6),"",P6)</f>
        <v/>
      </c>
      <c r="AI6" s="834"/>
    </row>
    <row r="7" spans="1:35" ht="12" customHeight="1" x14ac:dyDescent="0.2">
      <c r="B7" s="55"/>
      <c r="C7" s="55"/>
      <c r="H7" s="841" t="str">
        <f>REPT(" ",4) &amp; IF(NOT(Francais),"Split in 2 Invoices","Séparer en 2 factures")</f>
        <v xml:space="preserve">    Séparer en 2 factures</v>
      </c>
      <c r="I7" s="841"/>
      <c r="J7" s="841" t="str">
        <f>REPT(" ",4) &amp; IF(NOT(Francais),"Internet Download","Téléchargement")</f>
        <v xml:space="preserve">    Téléchargement</v>
      </c>
      <c r="K7" s="841"/>
      <c r="L7" s="821" t="str">
        <f>IF(Francais,"Courriel Utilisateur:","End User Email:")</f>
        <v>Courriel Utilisateur:</v>
      </c>
      <c r="M7" s="821"/>
      <c r="N7" s="821"/>
      <c r="O7" s="834" t="str">
        <f>IF(ISBLANK(Home!$B$28),"",Home!$B$28)</f>
        <v/>
      </c>
      <c r="P7" s="834"/>
      <c r="Q7" s="834"/>
      <c r="S7" s="46"/>
      <c r="T7" s="55"/>
      <c r="U7" s="55"/>
      <c r="V7" s="46"/>
      <c r="W7" s="46"/>
      <c r="X7" s="46"/>
      <c r="Y7" s="46"/>
      <c r="Z7" s="46"/>
      <c r="AA7" s="46"/>
      <c r="AB7" s="46"/>
      <c r="AC7" s="46"/>
      <c r="AD7" s="821" t="str">
        <f>IF(Francais,"Courriel Utilisateur:","End User Email:")</f>
        <v>Courriel Utilisateur:</v>
      </c>
      <c r="AE7" s="821"/>
      <c r="AF7" s="821"/>
      <c r="AG7" s="834" t="str">
        <f>IF(ISBLANK(O7),"",O7)</f>
        <v/>
      </c>
      <c r="AH7" s="834"/>
      <c r="AI7" s="834"/>
    </row>
    <row r="8" spans="1:35" ht="3.5" customHeight="1" x14ac:dyDescent="0.2">
      <c r="S8" s="46"/>
      <c r="T8" s="46"/>
      <c r="U8" s="46"/>
      <c r="V8" s="46"/>
      <c r="W8" s="46"/>
      <c r="X8" s="46"/>
      <c r="Y8" s="46"/>
      <c r="Z8" s="46"/>
      <c r="AA8" s="46"/>
      <c r="AB8" s="46"/>
      <c r="AC8" s="46"/>
      <c r="AD8" s="46"/>
      <c r="AE8" s="46"/>
      <c r="AF8" s="46"/>
      <c r="AG8" s="46"/>
      <c r="AH8" s="46"/>
      <c r="AI8" s="46"/>
    </row>
    <row r="9" spans="1:35" s="3" customFormat="1" ht="3.5" customHeight="1" x14ac:dyDescent="0.15">
      <c r="A9" s="56"/>
      <c r="B9" s="827" t="str">
        <f>IF(Francais," FACTURATION:"," BILL TO:")</f>
        <v xml:space="preserve"> FACTURATION:</v>
      </c>
      <c r="C9" s="828"/>
      <c r="D9" s="828"/>
      <c r="E9" s="828"/>
      <c r="F9" s="828"/>
      <c r="G9" s="122"/>
      <c r="H9" s="828" t="str">
        <f>IF(Francais," LIVRAISON:"," SHIP TO:")</f>
        <v xml:space="preserve"> LIVRAISON:</v>
      </c>
      <c r="I9" s="828"/>
      <c r="J9" s="828"/>
      <c r="K9" s="828"/>
      <c r="L9" s="116"/>
      <c r="M9" s="827" t="str">
        <f>IF(Francais," DÉTAILS D'EXPÉDITION:"," SHIPPING DETAILS:")</f>
        <v xml:space="preserve"> DÉTAILS D'EXPÉDITION:</v>
      </c>
      <c r="N9" s="828"/>
      <c r="O9" s="828"/>
      <c r="P9" s="828"/>
      <c r="Q9" s="828"/>
      <c r="S9" s="56"/>
      <c r="T9" s="827" t="str">
        <f>B9</f>
        <v xml:space="preserve"> FACTURATION:</v>
      </c>
      <c r="U9" s="828"/>
      <c r="V9" s="828"/>
      <c r="W9" s="828"/>
      <c r="X9" s="828"/>
      <c r="Y9" s="122"/>
      <c r="Z9" s="828" t="str">
        <f>H9</f>
        <v xml:space="preserve"> LIVRAISON:</v>
      </c>
      <c r="AA9" s="828"/>
      <c r="AB9" s="828"/>
      <c r="AC9" s="828"/>
      <c r="AD9" s="116"/>
      <c r="AE9" s="828" t="str">
        <f>M9</f>
        <v xml:space="preserve"> DÉTAILS D'EXPÉDITION:</v>
      </c>
      <c r="AF9" s="828"/>
      <c r="AG9" s="828"/>
      <c r="AH9" s="828"/>
      <c r="AI9" s="828"/>
    </row>
    <row r="10" spans="1:35" s="3" customFormat="1" x14ac:dyDescent="0.15">
      <c r="A10" s="56"/>
      <c r="B10" s="828"/>
      <c r="C10" s="828"/>
      <c r="D10" s="828"/>
      <c r="E10" s="828"/>
      <c r="F10" s="828"/>
      <c r="G10" s="122"/>
      <c r="H10" s="828"/>
      <c r="I10" s="828"/>
      <c r="J10" s="828"/>
      <c r="K10" s="828"/>
      <c r="L10" s="116"/>
      <c r="M10" s="828"/>
      <c r="N10" s="828"/>
      <c r="O10" s="828"/>
      <c r="P10" s="828"/>
      <c r="Q10" s="828"/>
      <c r="S10" s="56"/>
      <c r="T10" s="828"/>
      <c r="U10" s="828"/>
      <c r="V10" s="828"/>
      <c r="W10" s="828"/>
      <c r="X10" s="828"/>
      <c r="Y10" s="122"/>
      <c r="Z10" s="828"/>
      <c r="AA10" s="828"/>
      <c r="AB10" s="828"/>
      <c r="AC10" s="828"/>
      <c r="AD10" s="116"/>
      <c r="AE10" s="828"/>
      <c r="AF10" s="828"/>
      <c r="AG10" s="828"/>
      <c r="AH10" s="828"/>
      <c r="AI10" s="828"/>
    </row>
    <row r="11" spans="1:35" s="3" customFormat="1" ht="3.5" customHeight="1" x14ac:dyDescent="0.15">
      <c r="A11" s="56"/>
      <c r="B11" s="117"/>
      <c r="C11" s="117"/>
      <c r="D11" s="118"/>
      <c r="E11" s="118"/>
      <c r="F11" s="118"/>
      <c r="G11" s="122"/>
      <c r="H11" s="117"/>
      <c r="I11" s="116"/>
      <c r="J11" s="116"/>
      <c r="K11" s="116"/>
      <c r="L11" s="116"/>
      <c r="M11" s="117"/>
      <c r="N11" s="118"/>
      <c r="O11" s="118"/>
      <c r="P11" s="116"/>
      <c r="Q11" s="116"/>
      <c r="S11" s="56"/>
      <c r="T11" s="117"/>
      <c r="U11" s="117"/>
      <c r="V11" s="118"/>
      <c r="W11" s="118"/>
      <c r="X11" s="118"/>
      <c r="Y11" s="122"/>
      <c r="Z11" s="117"/>
      <c r="AA11" s="116"/>
      <c r="AB11" s="116"/>
      <c r="AC11" s="116"/>
      <c r="AD11" s="116"/>
      <c r="AE11" s="117"/>
      <c r="AF11" s="118"/>
      <c r="AG11" s="118"/>
      <c r="AH11" s="116"/>
      <c r="AI11" s="116"/>
    </row>
    <row r="12" spans="1:35" ht="11.25" customHeight="1" x14ac:dyDescent="0.2">
      <c r="B12" s="829" t="str">
        <f>IF(ISBLANK(Home!B10),"",Home!B10)</f>
        <v/>
      </c>
      <c r="C12" s="829"/>
      <c r="D12" s="829"/>
      <c r="E12" s="829"/>
      <c r="F12" s="829"/>
      <c r="G12" s="122"/>
      <c r="H12" s="829" t="str">
        <f>IF(ISBLANK(Home!L10),"",Home!L10)</f>
        <v/>
      </c>
      <c r="I12" s="829"/>
      <c r="J12" s="829"/>
      <c r="K12" s="829"/>
      <c r="L12" s="119"/>
      <c r="M12" s="826" t="str">
        <f>IF(Francais,"Transporteur","Ship via")</f>
        <v>Transporteur</v>
      </c>
      <c r="N12" s="826"/>
      <c r="O12" s="826"/>
      <c r="P12" s="829" t="str">
        <f>IF(AND(QUOTE_Split_SoftwareHardware,QUOTE_InternetDownload),IF(Francais,"Téléchargement Internet","Internet Download"),"Fedex")</f>
        <v>Fedex</v>
      </c>
      <c r="Q12" s="829"/>
      <c r="S12" s="46"/>
      <c r="T12" s="829" t="str">
        <f t="shared" ref="T12:T17" si="0">B12</f>
        <v/>
      </c>
      <c r="U12" s="829"/>
      <c r="V12" s="829"/>
      <c r="W12" s="829"/>
      <c r="X12" s="829"/>
      <c r="Y12" s="122"/>
      <c r="Z12" s="829" t="str">
        <f t="shared" ref="Z12:Z17" si="1">H12</f>
        <v/>
      </c>
      <c r="AA12" s="829"/>
      <c r="AB12" s="829"/>
      <c r="AC12" s="829"/>
      <c r="AD12" s="119"/>
      <c r="AE12" s="826" t="str">
        <f t="shared" ref="AE12:AE13" si="2">M12</f>
        <v>Transporteur</v>
      </c>
      <c r="AF12" s="826"/>
      <c r="AG12" s="826"/>
      <c r="AH12" s="829" t="s">
        <v>774</v>
      </c>
      <c r="AI12" s="829"/>
    </row>
    <row r="13" spans="1:35" ht="11.25" customHeight="1" x14ac:dyDescent="0.2">
      <c r="B13" s="829" t="str">
        <f>IF(ISBLANK(Home!B11),"",Home!B11)</f>
        <v/>
      </c>
      <c r="C13" s="829"/>
      <c r="D13" s="829"/>
      <c r="E13" s="829"/>
      <c r="F13" s="829"/>
      <c r="G13" s="122"/>
      <c r="H13" s="829" t="str">
        <f>IF(ISBLANK(Home!L11),"",Home!L11)</f>
        <v/>
      </c>
      <c r="I13" s="829"/>
      <c r="J13" s="829"/>
      <c r="K13" s="829"/>
      <c r="L13" s="119"/>
      <c r="M13" s="826" t="s">
        <v>17</v>
      </c>
      <c r="N13" s="826"/>
      <c r="O13" s="826"/>
      <c r="P13" s="829" t="str">
        <f>IF(AND(QUOTE_Split_SoftwareHardware,QUOTE_InternetDownload),"","DAP")</f>
        <v>DAP</v>
      </c>
      <c r="Q13" s="829"/>
      <c r="S13" s="46"/>
      <c r="T13" s="829" t="str">
        <f t="shared" si="0"/>
        <v/>
      </c>
      <c r="U13" s="829"/>
      <c r="V13" s="829"/>
      <c r="W13" s="829"/>
      <c r="X13" s="829"/>
      <c r="Y13" s="122"/>
      <c r="Z13" s="829" t="str">
        <f t="shared" si="1"/>
        <v/>
      </c>
      <c r="AA13" s="829"/>
      <c r="AB13" s="829"/>
      <c r="AC13" s="829"/>
      <c r="AD13" s="119"/>
      <c r="AE13" s="826" t="str">
        <f t="shared" si="2"/>
        <v>Incoterms</v>
      </c>
      <c r="AF13" s="826"/>
      <c r="AG13" s="826"/>
      <c r="AH13" s="829" t="s">
        <v>775</v>
      </c>
      <c r="AI13" s="829"/>
    </row>
    <row r="14" spans="1:35" ht="11" customHeight="1" x14ac:dyDescent="0.2">
      <c r="B14" s="829" t="str">
        <f>IF(ISBLANK(Home!B12),"",Home!B12)</f>
        <v/>
      </c>
      <c r="C14" s="829"/>
      <c r="D14" s="829"/>
      <c r="E14" s="829"/>
      <c r="F14" s="829"/>
      <c r="G14" s="122"/>
      <c r="H14" s="829" t="str">
        <f>IF(ISBLANK(Home!L12),"",Home!L12)</f>
        <v/>
      </c>
      <c r="I14" s="829"/>
      <c r="J14" s="829"/>
      <c r="K14" s="829"/>
      <c r="L14" s="119"/>
      <c r="M14" s="826" t="str">
        <f>IF(Francais,"Nombre de colis","Total Package(s)")</f>
        <v>Nombre de colis</v>
      </c>
      <c r="N14" s="826"/>
      <c r="O14" s="826"/>
      <c r="P14" s="829">
        <f>IF(NOT(QUOTE_Split_SoftwareHardware),
TotalPackages,
IF(QUOTE_InternetDownload,0,
IF(N_Soft_Upd_Upg_Total&gt;0,INT(N_Soft_Upd_Upg_Total/6+1),0))
)</f>
        <v>0</v>
      </c>
      <c r="Q14" s="829"/>
      <c r="S14" s="46"/>
      <c r="T14" s="829" t="str">
        <f t="shared" si="0"/>
        <v/>
      </c>
      <c r="U14" s="829"/>
      <c r="V14" s="829"/>
      <c r="W14" s="829"/>
      <c r="X14" s="829"/>
      <c r="Y14" s="122"/>
      <c r="Z14" s="829" t="str">
        <f t="shared" si="1"/>
        <v/>
      </c>
      <c r="AA14" s="829"/>
      <c r="AB14" s="829"/>
      <c r="AC14" s="829"/>
      <c r="AD14" s="119"/>
      <c r="AE14" s="826" t="str">
        <f>M14</f>
        <v>Nombre de colis</v>
      </c>
      <c r="AF14" s="826"/>
      <c r="AG14" s="826"/>
      <c r="AH14" s="829">
        <f>IF(NOT(QUOTE_Split_SoftwareHardware),
IF(ISBLANK(P14),"",P14),
TotalPackages)</f>
        <v>0</v>
      </c>
      <c r="AI14" s="829"/>
    </row>
    <row r="15" spans="1:35" ht="11" customHeight="1" x14ac:dyDescent="0.2">
      <c r="B15" s="829" t="str">
        <f>HOME_City &amp; ", " &amp; HOME_Province &amp; " " &amp; HOME_Zip</f>
        <v xml:space="preserve">,  </v>
      </c>
      <c r="C15" s="829"/>
      <c r="D15" s="829"/>
      <c r="E15" s="829"/>
      <c r="F15" s="829"/>
      <c r="G15" s="122"/>
      <c r="H15" s="829" t="str">
        <f>HOME_City_Ship &amp; ", " &amp; HOME_Province_Ship &amp; " " &amp; HOME_Zip_Ship</f>
        <v xml:space="preserve">,  </v>
      </c>
      <c r="I15" s="829"/>
      <c r="J15" s="829"/>
      <c r="K15" s="829"/>
      <c r="L15" s="119"/>
      <c r="M15" s="826" t="str">
        <f>IF(Francais,"Dimensions boîte (po)","Box Dimensions (in)")</f>
        <v>Dimensions boîte (po)</v>
      </c>
      <c r="N15" s="826"/>
      <c r="O15" s="826"/>
      <c r="P15" s="835" t="str">
        <f>IF(NOT(QUOTE_Split_SoftwareHardware),
Vars!N86,
IF(QUOTE_InternetDownload,"",
IF(N_Soft_Upd_Upg_Total&gt;0,INT(N_Soft_Upd_Upg_Total/6+1)&amp;"*PAK",0))
)</f>
        <v/>
      </c>
      <c r="Q15" s="835"/>
      <c r="S15" s="46"/>
      <c r="T15" s="829" t="str">
        <f>B15</f>
        <v xml:space="preserve">,  </v>
      </c>
      <c r="U15" s="829"/>
      <c r="V15" s="829"/>
      <c r="W15" s="829"/>
      <c r="X15" s="829"/>
      <c r="Y15" s="122"/>
      <c r="Z15" s="829" t="str">
        <f>H15</f>
        <v xml:space="preserve">,  </v>
      </c>
      <c r="AA15" s="829"/>
      <c r="AB15" s="829"/>
      <c r="AC15" s="829"/>
      <c r="AD15" s="119"/>
      <c r="AE15" s="826" t="str">
        <f>M15</f>
        <v>Dimensions boîte (po)</v>
      </c>
      <c r="AF15" s="826"/>
      <c r="AG15" s="826"/>
      <c r="AH15" s="835" t="str">
        <f>IF(NOT(QUOTE_Split_SoftwareHardware),
IF(ISBLANK(P15),"",P15),Vars!N86)</f>
        <v/>
      </c>
      <c r="AI15" s="835"/>
    </row>
    <row r="16" spans="1:35" ht="11.25" customHeight="1" x14ac:dyDescent="0.2">
      <c r="B16" s="829" t="str">
        <f>IF(ISBLANK(Home!$H$16),"",Home!$H$16)</f>
        <v/>
      </c>
      <c r="C16" s="829"/>
      <c r="D16" s="829"/>
      <c r="E16" s="829"/>
      <c r="F16" s="829"/>
      <c r="G16" s="122"/>
      <c r="H16" s="829" t="str">
        <f>IF(ISBLANK(Home!R16),"",Home!R16)</f>
        <v/>
      </c>
      <c r="I16" s="829"/>
      <c r="J16" s="829"/>
      <c r="K16" s="829"/>
      <c r="L16" s="119"/>
      <c r="P16" s="835"/>
      <c r="Q16" s="835"/>
      <c r="S16" s="46"/>
      <c r="T16" s="829" t="str">
        <f>B16</f>
        <v/>
      </c>
      <c r="U16" s="829"/>
      <c r="V16" s="829"/>
      <c r="W16" s="829"/>
      <c r="X16" s="829"/>
      <c r="Y16" s="122"/>
      <c r="Z16" s="829" t="str">
        <f>H16</f>
        <v/>
      </c>
      <c r="AA16" s="829"/>
      <c r="AB16" s="829"/>
      <c r="AC16" s="829"/>
      <c r="AD16" s="119"/>
      <c r="AE16" s="119"/>
      <c r="AF16" s="119"/>
      <c r="AG16" s="119"/>
      <c r="AH16" s="835"/>
      <c r="AI16" s="835"/>
    </row>
    <row r="17" spans="1:35" ht="11.25" customHeight="1" x14ac:dyDescent="0.2">
      <c r="B17" s="833" t="str">
        <f>"Contact: "&amp;Home!B9&amp;" "&amp;Home!F9&amp;" "&amp;Home!H9</f>
        <v xml:space="preserve">Contact:   </v>
      </c>
      <c r="C17" s="833"/>
      <c r="D17" s="833"/>
      <c r="E17" s="833"/>
      <c r="F17" s="833"/>
      <c r="G17" s="123"/>
      <c r="H17" s="833" t="str">
        <f>"Contact: "&amp;Home!L9&amp;" "&amp;Home!P9&amp;" "&amp;Home!R9</f>
        <v xml:space="preserve">Contact:   </v>
      </c>
      <c r="I17" s="833"/>
      <c r="J17" s="833"/>
      <c r="K17" s="833"/>
      <c r="L17" s="119"/>
      <c r="M17" s="826" t="str">
        <f>IF(Francais,"Poids net","Weight Net")</f>
        <v>Poids net</v>
      </c>
      <c r="N17" s="826"/>
      <c r="O17" s="826"/>
      <c r="P17" s="756">
        <f>IF(ISBLANK(Inv!Q17),"",Inv!Q17)</f>
        <v>0</v>
      </c>
      <c r="Q17" s="754">
        <f>IFERROR(P17/2.205,"")</f>
        <v>0</v>
      </c>
      <c r="S17" s="46"/>
      <c r="T17" s="833" t="str">
        <f t="shared" si="0"/>
        <v xml:space="preserve">Contact:   </v>
      </c>
      <c r="U17" s="833"/>
      <c r="V17" s="833"/>
      <c r="W17" s="833"/>
      <c r="X17" s="833"/>
      <c r="Y17" s="123"/>
      <c r="Z17" s="833" t="str">
        <f t="shared" si="1"/>
        <v xml:space="preserve">Contact:   </v>
      </c>
      <c r="AA17" s="833"/>
      <c r="AB17" s="833"/>
      <c r="AC17" s="833"/>
      <c r="AD17" s="119"/>
      <c r="AE17" s="826" t="str">
        <f>M17</f>
        <v>Poids net</v>
      </c>
      <c r="AF17" s="826"/>
      <c r="AG17" s="826"/>
      <c r="AH17" s="755" t="str">
        <f>IF(ISBLANK(Inv!AJ17),"",Inv!AJ17)</f>
        <v/>
      </c>
      <c r="AI17" s="754" t="str">
        <f>IFERROR(AH17/2.205,"")</f>
        <v/>
      </c>
    </row>
    <row r="18" spans="1:35" ht="11.25" customHeight="1" x14ac:dyDescent="0.2">
      <c r="B18" s="724" t="str">
        <f>IF(Francais,"Tél.","Tel.")</f>
        <v>Tél.</v>
      </c>
      <c r="C18" s="833" t="str">
        <f>IF(ISBLANK(Home!B14),"",Home!B14)</f>
        <v/>
      </c>
      <c r="D18" s="833"/>
      <c r="E18" s="833"/>
      <c r="F18" s="833"/>
      <c r="G18" s="123"/>
      <c r="H18" s="724" t="str">
        <f>IF(Francais,"Tél.","Tel.")</f>
        <v>Tél.</v>
      </c>
      <c r="I18" s="833" t="str">
        <f>IF(ISBLANK(Home!L14),"",Home!L14)</f>
        <v/>
      </c>
      <c r="J18" s="833"/>
      <c r="K18" s="833"/>
      <c r="L18" s="119"/>
      <c r="M18" s="826" t="str">
        <f>IF(Francais,"Poids brut","Weight Gross")</f>
        <v>Poids brut</v>
      </c>
      <c r="N18" s="826"/>
      <c r="O18" s="826"/>
      <c r="P18" s="756">
        <f>IF(ISBLANK(Inv!Q18),"",Inv!Q18)</f>
        <v>0</v>
      </c>
      <c r="Q18" s="754">
        <f>IFERROR(P18/2.205,"")</f>
        <v>0</v>
      </c>
      <c r="S18" s="46"/>
      <c r="T18" s="724" t="str">
        <f>IF(Francais,"Tél.","Tel.")</f>
        <v>Tél.</v>
      </c>
      <c r="U18" s="837" t="str">
        <f>C18</f>
        <v/>
      </c>
      <c r="V18" s="837"/>
      <c r="W18" s="837"/>
      <c r="X18" s="837"/>
      <c r="Y18" s="731"/>
      <c r="Z18" s="724" t="str">
        <f>IF(Francais,"Tél.","Tel.")</f>
        <v>Tél.</v>
      </c>
      <c r="AA18" s="833" t="str">
        <f>I18</f>
        <v/>
      </c>
      <c r="AB18" s="833"/>
      <c r="AC18" s="833"/>
      <c r="AD18" s="119"/>
      <c r="AE18" s="826" t="str">
        <f>M18</f>
        <v>Poids brut</v>
      </c>
      <c r="AF18" s="826"/>
      <c r="AG18" s="826"/>
      <c r="AH18" s="755" t="str">
        <f>IF(ISBLANK(Inv!AJ18),"",Inv!AJ18)</f>
        <v/>
      </c>
      <c r="AI18" s="754" t="str">
        <f>IFERROR(AH18/2.205,"")</f>
        <v/>
      </c>
    </row>
    <row r="19" spans="1:35" ht="11" customHeight="1" x14ac:dyDescent="0.2">
      <c r="B19" s="778" t="str">
        <f>IF(Francais,"Courriel:","Email:") &amp; " " &amp; IF(ISBLANK(HOME_Email),"",HOME_Email)</f>
        <v xml:space="preserve">Courriel: </v>
      </c>
      <c r="C19" s="724"/>
      <c r="D19" s="724"/>
      <c r="E19" s="724"/>
      <c r="F19" s="724"/>
      <c r="G19" s="123"/>
      <c r="H19" s="777" t="str">
        <f>IF(Francais,"Courriel:","Email:") &amp; " " &amp; IF(ISBLANK(HOME_Email_Ship),"",HOME_Email_Ship)</f>
        <v xml:space="preserve">Courriel: </v>
      </c>
      <c r="I19" s="777"/>
      <c r="J19" s="119"/>
      <c r="K19" s="119"/>
      <c r="L19" s="384"/>
      <c r="M19" s="826" t="str">
        <f>IF(Francais,"Poids volumétrique","Weight Billing")</f>
        <v>Poids volumétrique</v>
      </c>
      <c r="N19" s="826"/>
      <c r="O19" s="826"/>
      <c r="P19" s="756">
        <f>IF(NOT(QUOTE_Split_SoftwareHardware),
TotalWeight,
"")</f>
        <v>0</v>
      </c>
      <c r="Q19" s="754">
        <f>IFERROR(P19/2.205,"")</f>
        <v>0</v>
      </c>
      <c r="S19" s="46"/>
      <c r="T19" s="778" t="str">
        <f>IF(Francais,"Courriel:","Email:") &amp; IF(ISBLANK(HOME_Email),"",HOME_Email)</f>
        <v>Courriel:</v>
      </c>
      <c r="U19" s="724"/>
      <c r="V19" s="724"/>
      <c r="W19" s="724"/>
      <c r="X19" s="724"/>
      <c r="Y19" s="123"/>
      <c r="Z19" s="777" t="str">
        <f>IF(Francais,"Courriel:","Email:") &amp; " " &amp; IF(ISBLANK(HOME_Email_Ship),"",HOME_Email_Ship)</f>
        <v xml:space="preserve">Courriel: </v>
      </c>
      <c r="AA19" s="724"/>
      <c r="AB19" s="724"/>
      <c r="AC19" s="724"/>
      <c r="AD19" s="724"/>
      <c r="AE19" s="826" t="str">
        <f>M19</f>
        <v>Poids volumétrique</v>
      </c>
      <c r="AF19" s="826"/>
      <c r="AG19" s="826"/>
      <c r="AH19" s="756">
        <f>IF(NOT(QUOTE_Split_SoftwareHardware),
IF(ISBLANK(P19),"",P19),
TotalWeight)</f>
        <v>0</v>
      </c>
      <c r="AI19" s="754">
        <f>IFERROR(AH19/2.205,"")</f>
        <v>0</v>
      </c>
    </row>
    <row r="20" spans="1:35" ht="11" customHeight="1" x14ac:dyDescent="0.2">
      <c r="B20" s="725"/>
      <c r="C20" s="725"/>
      <c r="D20" s="736"/>
      <c r="E20" s="736"/>
      <c r="F20" s="736"/>
      <c r="G20" s="123"/>
      <c r="H20" s="778" t="str">
        <f>IF(Francais,
"#Id Taxes / EORI",
"Tax Id / EORI #"
) &amp; ":  " &amp; IF(ISBLANK(Home!$B$16),"",Home!$B$16)</f>
        <v xml:space="preserve">#Id Taxes / EORI:  </v>
      </c>
      <c r="I20" s="778"/>
      <c r="J20" s="778"/>
      <c r="K20" s="778"/>
      <c r="L20" s="384"/>
      <c r="M20" s="735"/>
      <c r="N20" s="735"/>
      <c r="O20" s="735"/>
      <c r="P20" s="728"/>
      <c r="Q20" s="729"/>
      <c r="S20" s="46"/>
      <c r="T20" s="736"/>
      <c r="U20" s="736"/>
      <c r="V20" s="736"/>
      <c r="W20" s="736"/>
      <c r="X20" s="736"/>
      <c r="Y20" s="123"/>
      <c r="Z20" s="778" t="str">
        <f>IF(Francais,
"#Id Taxes / EORI",
"Tax Id / EORI #"
) &amp; ":  " &amp; IF(ISBLANK(Home!$B$16),"",Home!$B$16)</f>
        <v xml:space="preserve">#Id Taxes / EORI:  </v>
      </c>
      <c r="AA20" s="724"/>
      <c r="AB20" s="778"/>
      <c r="AC20" s="778"/>
      <c r="AD20" s="237"/>
      <c r="AE20" s="735"/>
      <c r="AF20" s="735"/>
      <c r="AG20" s="735"/>
      <c r="AH20" s="728"/>
      <c r="AI20" s="729"/>
    </row>
    <row r="21" spans="1:35" ht="2.75" customHeight="1" x14ac:dyDescent="0.2">
      <c r="S21" s="46"/>
      <c r="T21" s="46"/>
      <c r="U21" s="46"/>
      <c r="V21" s="46"/>
      <c r="W21" s="46"/>
      <c r="X21" s="46"/>
      <c r="Y21" s="46"/>
      <c r="Z21" s="46"/>
      <c r="AA21" s="46"/>
      <c r="AB21" s="46"/>
      <c r="AC21" s="46"/>
      <c r="AD21" s="46"/>
      <c r="AE21" s="46"/>
      <c r="AF21" s="46"/>
      <c r="AG21" s="46"/>
      <c r="AH21" s="46"/>
      <c r="AI21" s="46"/>
    </row>
    <row r="22" spans="1:35" s="57" customFormat="1" ht="24" customHeight="1" x14ac:dyDescent="0.15">
      <c r="A22" s="89"/>
      <c r="B22" s="74" t="s">
        <v>35</v>
      </c>
      <c r="C22" s="75" t="str">
        <f>IF(Francais,"QTÉ","QTY")</f>
        <v>QTÉ</v>
      </c>
      <c r="D22" s="832" t="s">
        <v>19</v>
      </c>
      <c r="E22" s="832"/>
      <c r="F22" s="75"/>
      <c r="G22" s="75"/>
      <c r="H22" s="75"/>
      <c r="I22" s="75"/>
      <c r="J22" s="75"/>
      <c r="K22" s="75"/>
      <c r="L22" s="75"/>
      <c r="M22" s="75"/>
      <c r="N22" s="832" t="str">
        <f>IF(QUOTE_DetailedPrices,"DETAILED EXT. PRICE",IF(Francais,"CODE HARMONISÉ","HARMONIZED CODE"))</f>
        <v>CODE HARMONISÉ</v>
      </c>
      <c r="O22" s="832"/>
      <c r="P22" s="76" t="str">
        <f>IF(Francais,"PRIX UNITAIRE","UNIT PRICE")</f>
        <v>PRIX UNITAIRE</v>
      </c>
      <c r="Q22" s="76" t="str">
        <f>IF(Francais,"SOUS-TOTAL","EXTENDED PRICE")</f>
        <v>SOUS-TOTAL</v>
      </c>
      <c r="S22" s="89"/>
      <c r="T22" s="74" t="s">
        <v>35</v>
      </c>
      <c r="U22" s="75" t="str">
        <f>IF(Francais,"QTÉ","QTY")</f>
        <v>QTÉ</v>
      </c>
      <c r="V22" s="832" t="s">
        <v>19</v>
      </c>
      <c r="W22" s="832"/>
      <c r="X22" s="75"/>
      <c r="Y22" s="75"/>
      <c r="Z22" s="75"/>
      <c r="AA22" s="75"/>
      <c r="AB22" s="75"/>
      <c r="AC22" s="75"/>
      <c r="AD22" s="75"/>
      <c r="AE22" s="75"/>
      <c r="AF22" s="832" t="str">
        <f>IF(QUOTE_DetailedPrices,"DETAILED EXT. PRICE",IF(Francais,"CODE HARMONISÉ","HARMONIZED CODE"))</f>
        <v>CODE HARMONISÉ</v>
      </c>
      <c r="AG22" s="832"/>
      <c r="AH22" s="76" t="str">
        <f>IF(Francais,"PRIX UNITAIRE","UNIT PRICE")</f>
        <v>PRIX UNITAIRE</v>
      </c>
      <c r="AI22" s="76" t="str">
        <f>IF(Francais,"SOUS-TOTAL","EXTENDED PRICE")</f>
        <v>SOUS-TOTAL</v>
      </c>
    </row>
    <row r="23" spans="1:35" ht="11.25" customHeight="1" x14ac:dyDescent="0.2">
      <c r="A23" s="83"/>
      <c r="B23" s="91"/>
      <c r="C23" s="240"/>
      <c r="D23" s="836"/>
      <c r="E23" s="836"/>
      <c r="F23" s="836"/>
      <c r="G23" s="836"/>
      <c r="H23" s="836"/>
      <c r="I23" s="836"/>
      <c r="J23" s="836"/>
      <c r="K23" s="836"/>
      <c r="L23" s="836"/>
      <c r="M23" s="836"/>
      <c r="N23" s="838"/>
      <c r="O23" s="838"/>
      <c r="P23" s="174"/>
      <c r="Q23" s="175"/>
      <c r="S23" s="83"/>
      <c r="T23" s="91"/>
      <c r="U23" s="240"/>
      <c r="V23" s="836"/>
      <c r="W23" s="836"/>
      <c r="X23" s="836"/>
      <c r="Y23" s="836"/>
      <c r="Z23" s="836"/>
      <c r="AA23" s="836"/>
      <c r="AB23" s="836"/>
      <c r="AC23" s="836"/>
      <c r="AD23" s="836"/>
      <c r="AE23" s="836"/>
      <c r="AF23" s="838"/>
      <c r="AG23" s="838"/>
      <c r="AH23" s="174"/>
      <c r="AI23" s="175"/>
    </row>
    <row r="24" spans="1:35" ht="11.25" customHeight="1" x14ac:dyDescent="0.2">
      <c r="A24" s="84"/>
      <c r="B24" s="73" t="str">
        <f>IF(AND(C24&gt;0,C24&lt;&gt;"",AND(LEFT(D24,7)&lt;&gt;"   • Wi",LEFT(D24,7)&lt;&gt;"   • XL")),
COUNT($C$24:C24),"")</f>
        <v/>
      </c>
      <c r="C24" s="82" t="str">
        <f>IF(NOT(QUOTE_Split_SoftwareHardware),QCalc!Q3,QCalc!X3)</f>
        <v/>
      </c>
      <c r="D24" s="823" t="str">
        <f>IF(NOT(QUOTE_Split_SoftwareHardware),QCalc!N3,QCalc!U3)</f>
        <v/>
      </c>
      <c r="E24" s="823"/>
      <c r="F24" s="823"/>
      <c r="G24" s="823"/>
      <c r="H24" s="823"/>
      <c r="I24" s="823"/>
      <c r="J24" s="823"/>
      <c r="K24" s="823"/>
      <c r="L24" s="823"/>
      <c r="M24" s="823"/>
      <c r="N24" s="824" t="str">
        <f>IF(NOT(QUOTE_Split_SoftwareHardware),
IF(QUOTE_DetailedPrices,QCalc!P3,QCalc!O3),
IF(QUOTE_DetailedPrices,QCalc!W3,QCalc!V3))</f>
        <v/>
      </c>
      <c r="O24" s="825"/>
      <c r="P24" s="176" t="str">
        <f>IF(NOT(QUOTE_Split_SoftwareHardware),QCalc!R3,QCalc!Y3)</f>
        <v/>
      </c>
      <c r="Q24" s="177" t="str">
        <f>IF(NOT(QUOTE_Split_SoftwareHardware),QCalc!S3,QCalc!Z3)</f>
        <v/>
      </c>
      <c r="S24" s="84"/>
      <c r="T24" s="73" t="str">
        <f>IF(AND(U24&gt;0,U24&lt;&gt;"",AND(LEFT(V24,7)&lt;&gt;"   • Wi",LEFT(V24,7)&lt;&gt;"   • XL")),
COUNT($U$24:U24)
+IF(NOT(QUOTE_Split_SoftwareHardware),MAX($B$24:$B$54),0),"")</f>
        <v/>
      </c>
      <c r="U24" s="82" t="str">
        <f>IF(NOT(QUOTE_Split_SoftwareHardware),QCalc!Q34,QCalc!AE3)</f>
        <v/>
      </c>
      <c r="V24" s="823" t="str">
        <f>IF(NOT(QUOTE_Split_SoftwareHardware),QCalc!N34,QCalc!AB3)</f>
        <v/>
      </c>
      <c r="W24" s="823"/>
      <c r="X24" s="823"/>
      <c r="Y24" s="823"/>
      <c r="Z24" s="823"/>
      <c r="AA24" s="823"/>
      <c r="AB24" s="823"/>
      <c r="AC24" s="823"/>
      <c r="AD24" s="823"/>
      <c r="AE24" s="823"/>
      <c r="AF24" s="824" t="str">
        <f>IF(NOT(QUOTE_Split_SoftwareHardware),
IF(QUOTE_DetailedPrices,QCalc!P34,QCalc!O34),
IF(QUOTE_DetailedPrices,QCalc!AD3,QCalc!AC3))</f>
        <v/>
      </c>
      <c r="AG24" s="825"/>
      <c r="AH24" s="176" t="str">
        <f>IF(NOT(QUOTE_Split_SoftwareHardware),QCalc!R34,QCalc!AF3)</f>
        <v/>
      </c>
      <c r="AI24" s="177" t="str">
        <f>IF(NOT(QUOTE_Split_SoftwareHardware),QCalc!S34,QCalc!AG3)</f>
        <v/>
      </c>
    </row>
    <row r="25" spans="1:35" ht="11.25" customHeight="1" x14ac:dyDescent="0.2">
      <c r="A25" s="84"/>
      <c r="B25" s="73" t="str">
        <f>IF(AND(C25&gt;0,C25&lt;&gt;"",AND(LEFT(D25,7)&lt;&gt;"   • Wi",LEFT(D25,7)&lt;&gt;"   • XL")),
COUNT($C$24:C25),"")</f>
        <v/>
      </c>
      <c r="C25" s="82" t="str">
        <f>IF(NOT(QUOTE_Split_SoftwareHardware),QCalc!Q4,QCalc!X4)</f>
        <v/>
      </c>
      <c r="D25" s="823" t="str">
        <f>IF(NOT(QUOTE_Split_SoftwareHardware),QCalc!N4,QCalc!U4)</f>
        <v/>
      </c>
      <c r="E25" s="823"/>
      <c r="F25" s="823"/>
      <c r="G25" s="823"/>
      <c r="H25" s="823"/>
      <c r="I25" s="823"/>
      <c r="J25" s="823"/>
      <c r="K25" s="823"/>
      <c r="L25" s="823"/>
      <c r="M25" s="823"/>
      <c r="N25" s="824" t="str">
        <f>IF(NOT(QUOTE_Split_SoftwareHardware),
IF(QUOTE_DetailedPrices,QCalc!P4,QCalc!O4),
IF(QUOTE_DetailedPrices,QCalc!W4,QCalc!V4))</f>
        <v/>
      </c>
      <c r="O25" s="825"/>
      <c r="P25" s="176" t="str">
        <f>IF(NOT(QUOTE_Split_SoftwareHardware),QCalc!R4,QCalc!Y4)</f>
        <v/>
      </c>
      <c r="Q25" s="177" t="str">
        <f>IF(NOT(QUOTE_Split_SoftwareHardware),QCalc!S4,QCalc!Z4)</f>
        <v/>
      </c>
      <c r="S25" s="84"/>
      <c r="T25" s="73" t="str">
        <f>IF(AND(U25&gt;0,U25&lt;&gt;"",AND(LEFT(V25,7)&lt;&gt;"   • Wi",LEFT(V25,7)&lt;&gt;"   • XL")),
COUNT($U$24:U25)
+IF(NOT(QUOTE_Split_SoftwareHardware),MAX($B$24:$B$54),0),"")</f>
        <v/>
      </c>
      <c r="U25" s="82" t="str">
        <f>IF(NOT(QUOTE_Split_SoftwareHardware),QCalc!Q35,QCalc!AE4)</f>
        <v/>
      </c>
      <c r="V25" s="822" t="str">
        <f>IF(NOT(QUOTE_Split_SoftwareHardware),QCalc!N35,QCalc!AB4)</f>
        <v/>
      </c>
      <c r="W25" s="823"/>
      <c r="X25" s="823"/>
      <c r="Y25" s="823"/>
      <c r="Z25" s="823"/>
      <c r="AA25" s="823"/>
      <c r="AB25" s="823"/>
      <c r="AC25" s="823"/>
      <c r="AD25" s="823"/>
      <c r="AE25" s="823"/>
      <c r="AF25" s="824" t="str">
        <f>IF(NOT(QUOTE_Split_SoftwareHardware),
IF(QUOTE_DetailedPrices,QCalc!P35,QCalc!O35),
IF(QUOTE_DetailedPrices,QCalc!AD4,QCalc!AC4))</f>
        <v/>
      </c>
      <c r="AG25" s="825"/>
      <c r="AH25" s="176" t="str">
        <f>IF(NOT(QUOTE_Split_SoftwareHardware),QCalc!R35,QCalc!AF4)</f>
        <v/>
      </c>
      <c r="AI25" s="177" t="str">
        <f>IF(NOT(QUOTE_Split_SoftwareHardware),QCalc!S35,QCalc!AG4)</f>
        <v/>
      </c>
    </row>
    <row r="26" spans="1:35" ht="11.25" customHeight="1" x14ac:dyDescent="0.2">
      <c r="A26" s="84"/>
      <c r="B26" s="73" t="str">
        <f>IF(AND(C26&gt;0,C26&lt;&gt;"",AND(LEFT(D26,7)&lt;&gt;"   • Wi",LEFT(D26,7)&lt;&gt;"   • XL")),
COUNT($C$24:C26),"")</f>
        <v/>
      </c>
      <c r="C26" s="82" t="str">
        <f>IF(NOT(QUOTE_Split_SoftwareHardware),QCalc!Q5,QCalc!X5)</f>
        <v/>
      </c>
      <c r="D26" s="823" t="str">
        <f>IF(NOT(QUOTE_Split_SoftwareHardware),QCalc!N5,QCalc!U5)</f>
        <v/>
      </c>
      <c r="E26" s="823"/>
      <c r="F26" s="823"/>
      <c r="G26" s="823"/>
      <c r="H26" s="823"/>
      <c r="I26" s="823"/>
      <c r="J26" s="823"/>
      <c r="K26" s="823"/>
      <c r="L26" s="823"/>
      <c r="M26" s="823"/>
      <c r="N26" s="824" t="str">
        <f>IF(NOT(QUOTE_Split_SoftwareHardware),
IF(QUOTE_DetailedPrices,QCalc!P5,QCalc!O5),
IF(QUOTE_DetailedPrices,QCalc!W5,QCalc!V5))</f>
        <v/>
      </c>
      <c r="O26" s="825"/>
      <c r="P26" s="176" t="str">
        <f>IF(NOT(QUOTE_Split_SoftwareHardware),QCalc!R5,QCalc!Y5)</f>
        <v/>
      </c>
      <c r="Q26" s="177" t="str">
        <f>IF(NOT(QUOTE_Split_SoftwareHardware),QCalc!S5,QCalc!Z5)</f>
        <v/>
      </c>
      <c r="S26" s="84"/>
      <c r="T26" s="73" t="str">
        <f>IF(AND(U26&gt;0,U26&lt;&gt;"",AND(LEFT(V26,7)&lt;&gt;"   • Wi",LEFT(V26,7)&lt;&gt;"   • XL")),
COUNT($U$24:U26)
+IF(NOT(QUOTE_Split_SoftwareHardware),MAX($B$24:$B$54),0),"")</f>
        <v/>
      </c>
      <c r="U26" s="82" t="str">
        <f>IF(NOT(QUOTE_Split_SoftwareHardware),QCalc!Q36,QCalc!AE5)</f>
        <v/>
      </c>
      <c r="V26" s="822" t="str">
        <f>IF(NOT(QUOTE_Split_SoftwareHardware),QCalc!N36,QCalc!AB5)</f>
        <v/>
      </c>
      <c r="W26" s="823"/>
      <c r="X26" s="823"/>
      <c r="Y26" s="823"/>
      <c r="Z26" s="823"/>
      <c r="AA26" s="823"/>
      <c r="AB26" s="823"/>
      <c r="AC26" s="823"/>
      <c r="AD26" s="823"/>
      <c r="AE26" s="823"/>
      <c r="AF26" s="824" t="str">
        <f>IF(NOT(QUOTE_Split_SoftwareHardware),
IF(QUOTE_DetailedPrices,QCalc!P36,QCalc!O36),
IF(QUOTE_DetailedPrices,QCalc!AD5,QCalc!AC5))</f>
        <v/>
      </c>
      <c r="AG26" s="825"/>
      <c r="AH26" s="176" t="str">
        <f>IF(NOT(QUOTE_Split_SoftwareHardware),QCalc!R36,QCalc!AF5)</f>
        <v/>
      </c>
      <c r="AI26" s="177" t="str">
        <f>IF(NOT(QUOTE_Split_SoftwareHardware),QCalc!S36,QCalc!AG5)</f>
        <v/>
      </c>
    </row>
    <row r="27" spans="1:35" ht="11.25" customHeight="1" x14ac:dyDescent="0.2">
      <c r="A27" s="84"/>
      <c r="B27" s="73" t="str">
        <f>IF(AND(C27&gt;0,C27&lt;&gt;"",AND(LEFT(D27,7)&lt;&gt;"   • Wi",LEFT(D27,7)&lt;&gt;"   • XL")),
COUNT($C$24:C27),"")</f>
        <v/>
      </c>
      <c r="C27" s="82" t="str">
        <f>IF(NOT(QUOTE_Split_SoftwareHardware),QCalc!Q6,QCalc!X6)</f>
        <v/>
      </c>
      <c r="D27" s="823" t="str">
        <f>IF(NOT(QUOTE_Split_SoftwareHardware),QCalc!N6,QCalc!U6)</f>
        <v/>
      </c>
      <c r="E27" s="823"/>
      <c r="F27" s="823"/>
      <c r="G27" s="823"/>
      <c r="H27" s="823"/>
      <c r="I27" s="823"/>
      <c r="J27" s="823"/>
      <c r="K27" s="823"/>
      <c r="L27" s="823"/>
      <c r="M27" s="823"/>
      <c r="N27" s="824" t="str">
        <f>IF(NOT(QUOTE_Split_SoftwareHardware),
IF(QUOTE_DetailedPrices,QCalc!P6,QCalc!O6),
IF(QUOTE_DetailedPrices,QCalc!W6,QCalc!V6))</f>
        <v/>
      </c>
      <c r="O27" s="825"/>
      <c r="P27" s="176" t="str">
        <f>IF(NOT(QUOTE_Split_SoftwareHardware),QCalc!R6,QCalc!Y6)</f>
        <v/>
      </c>
      <c r="Q27" s="177" t="str">
        <f>IF(NOT(QUOTE_Split_SoftwareHardware),QCalc!S6,QCalc!Z6)</f>
        <v/>
      </c>
      <c r="S27" s="84"/>
      <c r="T27" s="73" t="str">
        <f>IF(AND(U27&gt;0,U27&lt;&gt;"",AND(LEFT(V27,7)&lt;&gt;"   • Wi",LEFT(V27,7)&lt;&gt;"   • XL")),
COUNT($U$24:U27)
+IF(NOT(QUOTE_Split_SoftwareHardware),MAX($B$24:$B$54),0),"")</f>
        <v/>
      </c>
      <c r="U27" s="82" t="str">
        <f>IF(NOT(QUOTE_Split_SoftwareHardware),QCalc!Q37,QCalc!AE6)</f>
        <v/>
      </c>
      <c r="V27" s="822" t="str">
        <f>IF(NOT(QUOTE_Split_SoftwareHardware),QCalc!N37,QCalc!AB6)</f>
        <v/>
      </c>
      <c r="W27" s="823"/>
      <c r="X27" s="823"/>
      <c r="Y27" s="823"/>
      <c r="Z27" s="823"/>
      <c r="AA27" s="823"/>
      <c r="AB27" s="823"/>
      <c r="AC27" s="823"/>
      <c r="AD27" s="823"/>
      <c r="AE27" s="823"/>
      <c r="AF27" s="824" t="str">
        <f>IF(NOT(QUOTE_Split_SoftwareHardware),
IF(QUOTE_DetailedPrices,QCalc!P37,QCalc!O37),
IF(QUOTE_DetailedPrices,QCalc!AD6,QCalc!AC6))</f>
        <v/>
      </c>
      <c r="AG27" s="825"/>
      <c r="AH27" s="176" t="str">
        <f>IF(NOT(QUOTE_Split_SoftwareHardware),QCalc!R37,QCalc!AF6)</f>
        <v/>
      </c>
      <c r="AI27" s="177" t="str">
        <f>IF(NOT(QUOTE_Split_SoftwareHardware),QCalc!S37,QCalc!AG6)</f>
        <v/>
      </c>
    </row>
    <row r="28" spans="1:35" ht="11.25" customHeight="1" x14ac:dyDescent="0.2">
      <c r="A28" s="84"/>
      <c r="B28" s="73" t="str">
        <f>IF(AND(C28&gt;0,C28&lt;&gt;"",AND(LEFT(D28,7)&lt;&gt;"   • Wi",LEFT(D28,7)&lt;&gt;"   • XL")),
COUNT($C$24:C28),"")</f>
        <v/>
      </c>
      <c r="C28" s="82" t="str">
        <f>IF(NOT(QUOTE_Split_SoftwareHardware),QCalc!Q7,QCalc!X7)</f>
        <v/>
      </c>
      <c r="D28" s="823" t="str">
        <f>IF(NOT(QUOTE_Split_SoftwareHardware),QCalc!N7,QCalc!U7)</f>
        <v/>
      </c>
      <c r="E28" s="823"/>
      <c r="F28" s="823"/>
      <c r="G28" s="823"/>
      <c r="H28" s="823"/>
      <c r="I28" s="823"/>
      <c r="J28" s="823"/>
      <c r="K28" s="823"/>
      <c r="L28" s="823"/>
      <c r="M28" s="823"/>
      <c r="N28" s="824" t="str">
        <f>IF(NOT(QUOTE_Split_SoftwareHardware),
IF(QUOTE_DetailedPrices,QCalc!P7,QCalc!O7),
IF(QUOTE_DetailedPrices,QCalc!W7,QCalc!V7))</f>
        <v/>
      </c>
      <c r="O28" s="825"/>
      <c r="P28" s="176" t="str">
        <f>IF(NOT(QUOTE_Split_SoftwareHardware),QCalc!R7,QCalc!Y7)</f>
        <v/>
      </c>
      <c r="Q28" s="177" t="str">
        <f>IF(NOT(QUOTE_Split_SoftwareHardware),QCalc!S7,QCalc!Z7)</f>
        <v/>
      </c>
      <c r="S28" s="84"/>
      <c r="T28" s="73" t="str">
        <f>IF(AND(U28&gt;0,U28&lt;&gt;"",AND(LEFT(V28,7)&lt;&gt;"   • Wi",LEFT(V28,7)&lt;&gt;"   • XL")),
COUNT($U$24:U28)
+IF(NOT(QUOTE_Split_SoftwareHardware),MAX($B$24:$B$54),0),"")</f>
        <v/>
      </c>
      <c r="U28" s="82" t="str">
        <f>IF(NOT(QUOTE_Split_SoftwareHardware),QCalc!Q38,QCalc!AE7)</f>
        <v/>
      </c>
      <c r="V28" s="822" t="str">
        <f>IF(NOT(QUOTE_Split_SoftwareHardware),QCalc!N38,QCalc!AB7)</f>
        <v/>
      </c>
      <c r="W28" s="823"/>
      <c r="X28" s="823"/>
      <c r="Y28" s="823"/>
      <c r="Z28" s="823"/>
      <c r="AA28" s="823"/>
      <c r="AB28" s="823"/>
      <c r="AC28" s="823"/>
      <c r="AD28" s="823"/>
      <c r="AE28" s="823"/>
      <c r="AF28" s="824" t="str">
        <f>IF(NOT(QUOTE_Split_SoftwareHardware),
IF(QUOTE_DetailedPrices,QCalc!P38,QCalc!O38),
IF(QUOTE_DetailedPrices,QCalc!AD7,QCalc!AC7))</f>
        <v/>
      </c>
      <c r="AG28" s="825"/>
      <c r="AH28" s="176" t="str">
        <f>IF(NOT(QUOTE_Split_SoftwareHardware),QCalc!R38,QCalc!AF7)</f>
        <v/>
      </c>
      <c r="AI28" s="177" t="str">
        <f>IF(NOT(QUOTE_Split_SoftwareHardware),QCalc!S38,QCalc!AG7)</f>
        <v/>
      </c>
    </row>
    <row r="29" spans="1:35" ht="11.25" customHeight="1" x14ac:dyDescent="0.2">
      <c r="A29" s="84"/>
      <c r="B29" s="73" t="str">
        <f>IF(AND(C29&gt;0,C29&lt;&gt;"",AND(LEFT(D29,7)&lt;&gt;"   • Wi",LEFT(D29,7)&lt;&gt;"   • XL")),
COUNT($C$24:C29),"")</f>
        <v/>
      </c>
      <c r="C29" s="82" t="str">
        <f>IF(NOT(QUOTE_Split_SoftwareHardware),QCalc!Q8,QCalc!X8)</f>
        <v/>
      </c>
      <c r="D29" s="823" t="str">
        <f>IF(NOT(QUOTE_Split_SoftwareHardware),QCalc!N8,QCalc!U8)</f>
        <v/>
      </c>
      <c r="E29" s="823"/>
      <c r="F29" s="823"/>
      <c r="G29" s="823"/>
      <c r="H29" s="823"/>
      <c r="I29" s="823"/>
      <c r="J29" s="823"/>
      <c r="K29" s="823"/>
      <c r="L29" s="823"/>
      <c r="M29" s="823"/>
      <c r="N29" s="824" t="str">
        <f>IF(NOT(QUOTE_Split_SoftwareHardware),
IF(QUOTE_DetailedPrices,QCalc!P8,QCalc!O8),
IF(QUOTE_DetailedPrices,QCalc!W8,QCalc!V8))</f>
        <v/>
      </c>
      <c r="O29" s="825"/>
      <c r="P29" s="176" t="str">
        <f>IF(NOT(QUOTE_Split_SoftwareHardware),QCalc!R8,QCalc!Y8)</f>
        <v/>
      </c>
      <c r="Q29" s="177" t="str">
        <f>IF(NOT(QUOTE_Split_SoftwareHardware),QCalc!S8,QCalc!Z8)</f>
        <v/>
      </c>
      <c r="S29" s="84"/>
      <c r="T29" s="73" t="str">
        <f>IF(AND(U29&gt;0,U29&lt;&gt;"",AND(LEFT(V29,7)&lt;&gt;"   • Wi",LEFT(V29,7)&lt;&gt;"   • XL")),
COUNT($U$24:U29)
+IF(NOT(QUOTE_Split_SoftwareHardware),MAX($B$24:$B$54),0),"")</f>
        <v/>
      </c>
      <c r="U29" s="82" t="str">
        <f>IF(NOT(QUOTE_Split_SoftwareHardware),QCalc!Q39,QCalc!AE8)</f>
        <v/>
      </c>
      <c r="V29" s="822" t="str">
        <f>IF(NOT(QUOTE_Split_SoftwareHardware),QCalc!N39,QCalc!AB8)</f>
        <v/>
      </c>
      <c r="W29" s="823"/>
      <c r="X29" s="823"/>
      <c r="Y29" s="823"/>
      <c r="Z29" s="823"/>
      <c r="AA29" s="823"/>
      <c r="AB29" s="823"/>
      <c r="AC29" s="823"/>
      <c r="AD29" s="823"/>
      <c r="AE29" s="823"/>
      <c r="AF29" s="824" t="str">
        <f>IF(NOT(QUOTE_Split_SoftwareHardware),
IF(QUOTE_DetailedPrices,QCalc!P39,QCalc!O39),
IF(QUOTE_DetailedPrices,QCalc!AD8,QCalc!AC8))</f>
        <v/>
      </c>
      <c r="AG29" s="825"/>
      <c r="AH29" s="176" t="str">
        <f>IF(NOT(QUOTE_Split_SoftwareHardware),QCalc!R39,QCalc!AF8)</f>
        <v/>
      </c>
      <c r="AI29" s="177" t="str">
        <f>IF(NOT(QUOTE_Split_SoftwareHardware),QCalc!S39,QCalc!AG8)</f>
        <v/>
      </c>
    </row>
    <row r="30" spans="1:35" ht="11.25" customHeight="1" x14ac:dyDescent="0.2">
      <c r="A30" s="84"/>
      <c r="B30" s="73" t="str">
        <f>IF(AND(C30&gt;0,C30&lt;&gt;"",AND(LEFT(D30,7)&lt;&gt;"   • Wi",LEFT(D30,7)&lt;&gt;"   • XL")),
COUNT($C$24:C30),"")</f>
        <v/>
      </c>
      <c r="C30" s="82" t="str">
        <f>IF(NOT(QUOTE_Split_SoftwareHardware),QCalc!Q9,QCalc!X9)</f>
        <v/>
      </c>
      <c r="D30" s="823" t="str">
        <f>IF(NOT(QUOTE_Split_SoftwareHardware),QCalc!N9,QCalc!U9)</f>
        <v/>
      </c>
      <c r="E30" s="823"/>
      <c r="F30" s="823"/>
      <c r="G30" s="823"/>
      <c r="H30" s="823"/>
      <c r="I30" s="823"/>
      <c r="J30" s="823"/>
      <c r="K30" s="823"/>
      <c r="L30" s="823"/>
      <c r="M30" s="823"/>
      <c r="N30" s="824" t="str">
        <f>IF(NOT(QUOTE_Split_SoftwareHardware),
IF(QUOTE_DetailedPrices,QCalc!P9,QCalc!O9),
IF(QUOTE_DetailedPrices,QCalc!W9,QCalc!V9))</f>
        <v/>
      </c>
      <c r="O30" s="825"/>
      <c r="P30" s="176" t="str">
        <f>IF(NOT(QUOTE_Split_SoftwareHardware),QCalc!R9,QCalc!Y9)</f>
        <v/>
      </c>
      <c r="Q30" s="177" t="str">
        <f>IF(NOT(QUOTE_Split_SoftwareHardware),QCalc!S9,QCalc!Z9)</f>
        <v/>
      </c>
      <c r="S30" s="84"/>
      <c r="T30" s="73" t="str">
        <f>IF(AND(U30&gt;0,U30&lt;&gt;"",AND(LEFT(V30,7)&lt;&gt;"   • Wi",LEFT(V30,7)&lt;&gt;"   • XL")),
COUNT($U$24:U30)
+IF(NOT(QUOTE_Split_SoftwareHardware),MAX($B$24:$B$54),0),"")</f>
        <v/>
      </c>
      <c r="U30" s="82" t="str">
        <f>IF(NOT(QUOTE_Split_SoftwareHardware),QCalc!Q40,QCalc!AE9)</f>
        <v/>
      </c>
      <c r="V30" s="822" t="str">
        <f>IF(NOT(QUOTE_Split_SoftwareHardware),QCalc!N40,QCalc!AB9)</f>
        <v/>
      </c>
      <c r="W30" s="823"/>
      <c r="X30" s="823"/>
      <c r="Y30" s="823"/>
      <c r="Z30" s="823"/>
      <c r="AA30" s="823"/>
      <c r="AB30" s="823"/>
      <c r="AC30" s="823"/>
      <c r="AD30" s="823"/>
      <c r="AE30" s="823"/>
      <c r="AF30" s="824" t="str">
        <f>IF(NOT(QUOTE_Split_SoftwareHardware),
IF(QUOTE_DetailedPrices,QCalc!P40,QCalc!O40),
IF(QUOTE_DetailedPrices,QCalc!AD9,QCalc!AC9))</f>
        <v/>
      </c>
      <c r="AG30" s="825"/>
      <c r="AH30" s="176" t="str">
        <f>IF(NOT(QUOTE_Split_SoftwareHardware),QCalc!R40,QCalc!AF9)</f>
        <v/>
      </c>
      <c r="AI30" s="177" t="str">
        <f>IF(NOT(QUOTE_Split_SoftwareHardware),QCalc!S40,QCalc!AG9)</f>
        <v/>
      </c>
    </row>
    <row r="31" spans="1:35" ht="11" customHeight="1" x14ac:dyDescent="0.2">
      <c r="A31" s="84"/>
      <c r="B31" s="73" t="str">
        <f>IF(AND(C31&gt;0,C31&lt;&gt;"",AND(LEFT(D31,7)&lt;&gt;"   • Wi",LEFT(D31,7)&lt;&gt;"   • XL")),
COUNT($C$24:C31),"")</f>
        <v/>
      </c>
      <c r="C31" s="82" t="str">
        <f>IF(NOT(QUOTE_Split_SoftwareHardware),QCalc!Q10,QCalc!X10)</f>
        <v/>
      </c>
      <c r="D31" s="823" t="str">
        <f>IF(NOT(QUOTE_Split_SoftwareHardware),QCalc!N10,QCalc!U10)</f>
        <v/>
      </c>
      <c r="E31" s="823"/>
      <c r="F31" s="823"/>
      <c r="G31" s="823"/>
      <c r="H31" s="823"/>
      <c r="I31" s="823"/>
      <c r="J31" s="823"/>
      <c r="K31" s="823"/>
      <c r="L31" s="823"/>
      <c r="M31" s="823"/>
      <c r="N31" s="824" t="str">
        <f>IF(NOT(QUOTE_Split_SoftwareHardware),
IF(QUOTE_DetailedPrices,QCalc!P10,QCalc!O10),
IF(QUOTE_DetailedPrices,QCalc!W10,QCalc!V10))</f>
        <v/>
      </c>
      <c r="O31" s="825"/>
      <c r="P31" s="176" t="str">
        <f>IF(NOT(QUOTE_Split_SoftwareHardware),QCalc!R10,QCalc!Y10)</f>
        <v/>
      </c>
      <c r="Q31" s="177" t="str">
        <f>IF(NOT(QUOTE_Split_SoftwareHardware),QCalc!S10,QCalc!Z10)</f>
        <v/>
      </c>
      <c r="S31" s="84"/>
      <c r="T31" s="73" t="str">
        <f>IF(AND(U31&gt;0,U31&lt;&gt;"",AND(LEFT(V31,7)&lt;&gt;"   • Wi",LEFT(V31,7)&lt;&gt;"   • XL")),
COUNT($U$24:U31)
+IF(NOT(QUOTE_Split_SoftwareHardware),MAX($B$24:$B$54),0),"")</f>
        <v/>
      </c>
      <c r="U31" s="82" t="str">
        <f>IF(NOT(QUOTE_Split_SoftwareHardware),QCalc!Q41,QCalc!AE10)</f>
        <v/>
      </c>
      <c r="V31" s="822" t="str">
        <f>IF(NOT(QUOTE_Split_SoftwareHardware),QCalc!N41,QCalc!AB10)</f>
        <v/>
      </c>
      <c r="W31" s="823"/>
      <c r="X31" s="823"/>
      <c r="Y31" s="823"/>
      <c r="Z31" s="823"/>
      <c r="AA31" s="823"/>
      <c r="AB31" s="823"/>
      <c r="AC31" s="823"/>
      <c r="AD31" s="823"/>
      <c r="AE31" s="823"/>
      <c r="AF31" s="824" t="str">
        <f>IF(NOT(QUOTE_Split_SoftwareHardware),
IF(QUOTE_DetailedPrices,QCalc!P41,QCalc!O41),
IF(QUOTE_DetailedPrices,QCalc!AD10,QCalc!AC10))</f>
        <v/>
      </c>
      <c r="AG31" s="825"/>
      <c r="AH31" s="176" t="str">
        <f>IF(NOT(QUOTE_Split_SoftwareHardware),QCalc!R41,QCalc!AF10)</f>
        <v/>
      </c>
      <c r="AI31" s="177" t="str">
        <f>IF(NOT(QUOTE_Split_SoftwareHardware),QCalc!S41,QCalc!AG10)</f>
        <v/>
      </c>
    </row>
    <row r="32" spans="1:35" ht="11" customHeight="1" x14ac:dyDescent="0.2">
      <c r="A32" s="84"/>
      <c r="B32" s="73" t="str">
        <f>IF(AND(C32&gt;0,C32&lt;&gt;"",AND(LEFT(D32,7)&lt;&gt;"   • Wi",LEFT(D32,7)&lt;&gt;"   • XL")),
COUNT($C$24:C32),"")</f>
        <v/>
      </c>
      <c r="C32" s="82" t="str">
        <f>IF(NOT(QUOTE_Split_SoftwareHardware),QCalc!Q11,QCalc!X11)</f>
        <v/>
      </c>
      <c r="D32" s="823" t="str">
        <f>IF(NOT(QUOTE_Split_SoftwareHardware),QCalc!N11,QCalc!U11)</f>
        <v/>
      </c>
      <c r="E32" s="823"/>
      <c r="F32" s="823"/>
      <c r="G32" s="823"/>
      <c r="H32" s="823"/>
      <c r="I32" s="823"/>
      <c r="J32" s="823"/>
      <c r="K32" s="823"/>
      <c r="L32" s="823"/>
      <c r="M32" s="823"/>
      <c r="N32" s="824" t="str">
        <f>IF(NOT(QUOTE_Split_SoftwareHardware),
IF(QUOTE_DetailedPrices,QCalc!P11,QCalc!O11),
IF(QUOTE_DetailedPrices,QCalc!W11,QCalc!V11))</f>
        <v/>
      </c>
      <c r="O32" s="825"/>
      <c r="P32" s="176" t="str">
        <f>IF(NOT(QUOTE_Split_SoftwareHardware),QCalc!R11,QCalc!Y11)</f>
        <v/>
      </c>
      <c r="Q32" s="177" t="str">
        <f>IF(NOT(QUOTE_Split_SoftwareHardware),QCalc!S11,QCalc!Z11)</f>
        <v/>
      </c>
      <c r="S32" s="84"/>
      <c r="T32" s="73" t="str">
        <f>IF(AND(U32&gt;0,U32&lt;&gt;"",AND(LEFT(V32,7)&lt;&gt;"   • Wi",LEFT(V32,7)&lt;&gt;"   • XL")),
COUNT($U$24:U32)
+IF(NOT(QUOTE_Split_SoftwareHardware),MAX($B$24:$B$54),0),"")</f>
        <v/>
      </c>
      <c r="U32" s="82" t="str">
        <f>IF(NOT(QUOTE_Split_SoftwareHardware),QCalc!Q42,QCalc!AE11)</f>
        <v/>
      </c>
      <c r="V32" s="822" t="str">
        <f>IF(NOT(QUOTE_Split_SoftwareHardware),QCalc!N42,QCalc!AB11)</f>
        <v/>
      </c>
      <c r="W32" s="823"/>
      <c r="X32" s="823"/>
      <c r="Y32" s="823"/>
      <c r="Z32" s="823"/>
      <c r="AA32" s="823"/>
      <c r="AB32" s="823"/>
      <c r="AC32" s="823"/>
      <c r="AD32" s="823"/>
      <c r="AE32" s="823"/>
      <c r="AF32" s="824" t="str">
        <f>IF(NOT(QUOTE_Split_SoftwareHardware),
IF(QUOTE_DetailedPrices,QCalc!P42,QCalc!O42),
IF(QUOTE_DetailedPrices,QCalc!AD11,QCalc!AC11))</f>
        <v/>
      </c>
      <c r="AG32" s="825"/>
      <c r="AH32" s="176" t="str">
        <f>IF(NOT(QUOTE_Split_SoftwareHardware),QCalc!R42,QCalc!AF11)</f>
        <v/>
      </c>
      <c r="AI32" s="177" t="str">
        <f>IF(NOT(QUOTE_Split_SoftwareHardware),QCalc!S42,QCalc!AG11)</f>
        <v/>
      </c>
    </row>
    <row r="33" spans="1:35" ht="11" customHeight="1" x14ac:dyDescent="0.2">
      <c r="A33" s="84"/>
      <c r="B33" s="73" t="str">
        <f>IF(AND(C33&gt;0,C33&lt;&gt;"",AND(LEFT(D33,7)&lt;&gt;"   • Wi",LEFT(D33,7)&lt;&gt;"   • XL")),
COUNT($C$24:C33),"")</f>
        <v/>
      </c>
      <c r="C33" s="82" t="str">
        <f>IF(NOT(QUOTE_Split_SoftwareHardware),QCalc!Q12,QCalc!X12)</f>
        <v/>
      </c>
      <c r="D33" s="823" t="str">
        <f>IF(NOT(QUOTE_Split_SoftwareHardware),QCalc!N12,QCalc!U12)</f>
        <v/>
      </c>
      <c r="E33" s="823"/>
      <c r="F33" s="823"/>
      <c r="G33" s="823"/>
      <c r="H33" s="823"/>
      <c r="I33" s="823"/>
      <c r="J33" s="823"/>
      <c r="K33" s="823"/>
      <c r="L33" s="823"/>
      <c r="M33" s="823"/>
      <c r="N33" s="824" t="str">
        <f>IF(NOT(QUOTE_Split_SoftwareHardware),
IF(QUOTE_DetailedPrices,QCalc!P12,QCalc!O12),
IF(QUOTE_DetailedPrices,QCalc!W12,QCalc!V12))</f>
        <v/>
      </c>
      <c r="O33" s="825"/>
      <c r="P33" s="176" t="str">
        <f>IF(NOT(QUOTE_Split_SoftwareHardware),QCalc!R12,QCalc!Y12)</f>
        <v/>
      </c>
      <c r="Q33" s="177" t="str">
        <f>IF(NOT(QUOTE_Split_SoftwareHardware),QCalc!S12,QCalc!Z12)</f>
        <v/>
      </c>
      <c r="S33" s="84"/>
      <c r="T33" s="73" t="str">
        <f>IF(AND(U33&gt;0,U33&lt;&gt;"",AND(LEFT(V33,7)&lt;&gt;"   • Wi",LEFT(V33,7)&lt;&gt;"   • XL")),
COUNT($U$24:U33)
+IF(NOT(QUOTE_Split_SoftwareHardware),MAX($B$24:$B$54),0),"")</f>
        <v/>
      </c>
      <c r="U33" s="82" t="str">
        <f>IF(NOT(QUOTE_Split_SoftwareHardware),QCalc!Q43,QCalc!AE12)</f>
        <v/>
      </c>
      <c r="V33" s="822" t="str">
        <f>IF(NOT(QUOTE_Split_SoftwareHardware),QCalc!N43,QCalc!AB12)</f>
        <v/>
      </c>
      <c r="W33" s="823"/>
      <c r="X33" s="823"/>
      <c r="Y33" s="823"/>
      <c r="Z33" s="823"/>
      <c r="AA33" s="823"/>
      <c r="AB33" s="823"/>
      <c r="AC33" s="823"/>
      <c r="AD33" s="823"/>
      <c r="AE33" s="823"/>
      <c r="AF33" s="824" t="str">
        <f>IF(NOT(QUOTE_Split_SoftwareHardware),
IF(QUOTE_DetailedPrices,QCalc!P43,QCalc!O43),
IF(QUOTE_DetailedPrices,QCalc!AD12,QCalc!AC12))</f>
        <v/>
      </c>
      <c r="AG33" s="825"/>
      <c r="AH33" s="176" t="str">
        <f>IF(NOT(QUOTE_Split_SoftwareHardware),QCalc!R43,QCalc!AF12)</f>
        <v/>
      </c>
      <c r="AI33" s="177" t="str">
        <f>IF(NOT(QUOTE_Split_SoftwareHardware),QCalc!S43,QCalc!AG12)</f>
        <v/>
      </c>
    </row>
    <row r="34" spans="1:35" ht="11" customHeight="1" x14ac:dyDescent="0.2">
      <c r="A34" s="84"/>
      <c r="B34" s="73" t="str">
        <f>IF(AND(C34&gt;0,C34&lt;&gt;"",AND(LEFT(D34,7)&lt;&gt;"   • Wi",LEFT(D34,7)&lt;&gt;"   • XL")),
COUNT($C$24:C34),"")</f>
        <v/>
      </c>
      <c r="C34" s="82" t="str">
        <f>IF(NOT(QUOTE_Split_SoftwareHardware),QCalc!Q13,QCalc!X13)</f>
        <v/>
      </c>
      <c r="D34" s="823" t="str">
        <f>IF(NOT(QUOTE_Split_SoftwareHardware),QCalc!N13,QCalc!U13)</f>
        <v/>
      </c>
      <c r="E34" s="823"/>
      <c r="F34" s="823"/>
      <c r="G34" s="823"/>
      <c r="H34" s="823"/>
      <c r="I34" s="823"/>
      <c r="J34" s="823"/>
      <c r="K34" s="823"/>
      <c r="L34" s="823"/>
      <c r="M34" s="823"/>
      <c r="N34" s="824" t="str">
        <f>IF(NOT(QUOTE_Split_SoftwareHardware),
IF(QUOTE_DetailedPrices,QCalc!P13,QCalc!O13),
IF(QUOTE_DetailedPrices,QCalc!W13,QCalc!V13))</f>
        <v/>
      </c>
      <c r="O34" s="825"/>
      <c r="P34" s="176" t="str">
        <f>IF(NOT(QUOTE_Split_SoftwareHardware),QCalc!R13,QCalc!Y13)</f>
        <v/>
      </c>
      <c r="Q34" s="177" t="str">
        <f>IF(NOT(QUOTE_Split_SoftwareHardware),QCalc!S13,QCalc!Z13)</f>
        <v/>
      </c>
      <c r="S34" s="84"/>
      <c r="T34" s="73" t="str">
        <f>IF(AND(U34&gt;0,U34&lt;&gt;"",AND(LEFT(V34,7)&lt;&gt;"   • Wi",LEFT(V34,7)&lt;&gt;"   • XL")),
COUNT($U$24:U34)
+IF(NOT(QUOTE_Split_SoftwareHardware),MAX($B$24:$B$54),0),"")</f>
        <v/>
      </c>
      <c r="U34" s="82" t="str">
        <f>IF(NOT(QUOTE_Split_SoftwareHardware),QCalc!Q44,QCalc!AE13)</f>
        <v/>
      </c>
      <c r="V34" s="822" t="str">
        <f>IF(NOT(QUOTE_Split_SoftwareHardware),QCalc!N44,QCalc!AB13)</f>
        <v/>
      </c>
      <c r="W34" s="823"/>
      <c r="X34" s="823"/>
      <c r="Y34" s="823"/>
      <c r="Z34" s="823"/>
      <c r="AA34" s="823"/>
      <c r="AB34" s="823"/>
      <c r="AC34" s="823"/>
      <c r="AD34" s="823"/>
      <c r="AE34" s="823"/>
      <c r="AF34" s="824" t="str">
        <f>IF(NOT(QUOTE_Split_SoftwareHardware),
IF(QUOTE_DetailedPrices,QCalc!P44,QCalc!O44),
IF(QUOTE_DetailedPrices,QCalc!AD13,QCalc!AC13))</f>
        <v/>
      </c>
      <c r="AG34" s="825"/>
      <c r="AH34" s="176" t="str">
        <f>IF(NOT(QUOTE_Split_SoftwareHardware),QCalc!R44,QCalc!AF13)</f>
        <v/>
      </c>
      <c r="AI34" s="177" t="str">
        <f>IF(NOT(QUOTE_Split_SoftwareHardware),QCalc!S44,QCalc!AG13)</f>
        <v/>
      </c>
    </row>
    <row r="35" spans="1:35" ht="11" customHeight="1" x14ac:dyDescent="0.2">
      <c r="A35" s="84"/>
      <c r="B35" s="73" t="str">
        <f>IF(AND(C35&gt;0,C35&lt;&gt;"",AND(LEFT(D35,7)&lt;&gt;"   • Wi",LEFT(D35,7)&lt;&gt;"   • XL")),
COUNT($C$24:C35),"")</f>
        <v/>
      </c>
      <c r="C35" s="82" t="str">
        <f>IF(NOT(QUOTE_Split_SoftwareHardware),QCalc!Q14,QCalc!X14)</f>
        <v/>
      </c>
      <c r="D35" s="823" t="str">
        <f>IF(NOT(QUOTE_Split_SoftwareHardware),QCalc!N14,QCalc!U14)</f>
        <v/>
      </c>
      <c r="E35" s="823"/>
      <c r="F35" s="823"/>
      <c r="G35" s="823"/>
      <c r="H35" s="823"/>
      <c r="I35" s="823"/>
      <c r="J35" s="823"/>
      <c r="K35" s="823"/>
      <c r="L35" s="823"/>
      <c r="M35" s="823"/>
      <c r="N35" s="824" t="str">
        <f>IF(NOT(QUOTE_Split_SoftwareHardware),
IF(QUOTE_DetailedPrices,QCalc!P14,QCalc!O14),
IF(QUOTE_DetailedPrices,QCalc!W14,QCalc!V14))</f>
        <v/>
      </c>
      <c r="O35" s="825"/>
      <c r="P35" s="176" t="str">
        <f>IF(NOT(QUOTE_Split_SoftwareHardware),QCalc!R14,QCalc!Y14)</f>
        <v/>
      </c>
      <c r="Q35" s="177" t="str">
        <f>IF(NOT(QUOTE_Split_SoftwareHardware),QCalc!S14,QCalc!Z14)</f>
        <v/>
      </c>
      <c r="S35" s="84"/>
      <c r="T35" s="73" t="str">
        <f>IF(AND(U35&gt;0,U35&lt;&gt;"",AND(LEFT(V35,7)&lt;&gt;"   • Wi",LEFT(V35,7)&lt;&gt;"   • XL")),
COUNT($U$24:U35)
+IF(NOT(QUOTE_Split_SoftwareHardware),MAX($B$24:$B$54),0),"")</f>
        <v/>
      </c>
      <c r="U35" s="82" t="str">
        <f>IF(NOT(QUOTE_Split_SoftwareHardware),QCalc!Q45,QCalc!AE14)</f>
        <v/>
      </c>
      <c r="V35" s="822" t="str">
        <f>IF(NOT(QUOTE_Split_SoftwareHardware),QCalc!N45,QCalc!AB14)</f>
        <v/>
      </c>
      <c r="W35" s="823"/>
      <c r="X35" s="823"/>
      <c r="Y35" s="823"/>
      <c r="Z35" s="823"/>
      <c r="AA35" s="823"/>
      <c r="AB35" s="823"/>
      <c r="AC35" s="823"/>
      <c r="AD35" s="823"/>
      <c r="AE35" s="823"/>
      <c r="AF35" s="824" t="str">
        <f>IF(NOT(QUOTE_Split_SoftwareHardware),
IF(QUOTE_DetailedPrices,QCalc!P45,QCalc!O45),
IF(QUOTE_DetailedPrices,QCalc!AD14,QCalc!AC14))</f>
        <v/>
      </c>
      <c r="AG35" s="825"/>
      <c r="AH35" s="176" t="str">
        <f>IF(NOT(QUOTE_Split_SoftwareHardware),QCalc!R45,QCalc!AF14)</f>
        <v/>
      </c>
      <c r="AI35" s="177" t="str">
        <f>IF(NOT(QUOTE_Split_SoftwareHardware),QCalc!S45,QCalc!AG14)</f>
        <v/>
      </c>
    </row>
    <row r="36" spans="1:35" ht="11" customHeight="1" x14ac:dyDescent="0.2">
      <c r="A36" s="84"/>
      <c r="B36" s="73" t="str">
        <f>IF(AND(C36&gt;0,C36&lt;&gt;"",AND(LEFT(D36,7)&lt;&gt;"   • Wi",LEFT(D36,7)&lt;&gt;"   • XL")),
COUNT($C$24:C36),"")</f>
        <v/>
      </c>
      <c r="C36" s="82" t="str">
        <f>IF(NOT(QUOTE_Split_SoftwareHardware),QCalc!Q15,QCalc!X15)</f>
        <v/>
      </c>
      <c r="D36" s="823" t="str">
        <f>IF(NOT(QUOTE_Split_SoftwareHardware),QCalc!N15,QCalc!U15)</f>
        <v/>
      </c>
      <c r="E36" s="823"/>
      <c r="F36" s="823"/>
      <c r="G36" s="823"/>
      <c r="H36" s="823"/>
      <c r="I36" s="823"/>
      <c r="J36" s="823"/>
      <c r="K36" s="823"/>
      <c r="L36" s="823"/>
      <c r="M36" s="823"/>
      <c r="N36" s="824" t="str">
        <f>IF(NOT(QUOTE_Split_SoftwareHardware),
IF(QUOTE_DetailedPrices,QCalc!P15,QCalc!O15),
IF(QUOTE_DetailedPrices,QCalc!W15,QCalc!V15))</f>
        <v/>
      </c>
      <c r="O36" s="825"/>
      <c r="P36" s="176" t="str">
        <f>IF(NOT(QUOTE_Split_SoftwareHardware),QCalc!R15,QCalc!Y15)</f>
        <v/>
      </c>
      <c r="Q36" s="177" t="str">
        <f>IF(NOT(QUOTE_Split_SoftwareHardware),QCalc!S15,QCalc!Z15)</f>
        <v/>
      </c>
      <c r="S36" s="84"/>
      <c r="T36" s="73" t="str">
        <f>IF(AND(U36&gt;0,U36&lt;&gt;"",AND(LEFT(V36,7)&lt;&gt;"   • Wi",LEFT(V36,7)&lt;&gt;"   • XL")),
COUNT($U$24:U36)
+IF(NOT(QUOTE_Split_SoftwareHardware),MAX($B$24:$B$54),0),"")</f>
        <v/>
      </c>
      <c r="U36" s="82" t="str">
        <f>IF(NOT(QUOTE_Split_SoftwareHardware),QCalc!Q46,QCalc!AE15)</f>
        <v/>
      </c>
      <c r="V36" s="822" t="str">
        <f>IF(NOT(QUOTE_Split_SoftwareHardware),QCalc!N46,QCalc!AB15)</f>
        <v/>
      </c>
      <c r="W36" s="823"/>
      <c r="X36" s="823"/>
      <c r="Y36" s="823"/>
      <c r="Z36" s="823"/>
      <c r="AA36" s="823"/>
      <c r="AB36" s="823"/>
      <c r="AC36" s="823"/>
      <c r="AD36" s="823"/>
      <c r="AE36" s="823"/>
      <c r="AF36" s="824" t="str">
        <f>IF(NOT(QUOTE_Split_SoftwareHardware),
IF(QUOTE_DetailedPrices,QCalc!P46,QCalc!O46),
IF(QUOTE_DetailedPrices,QCalc!AD15,QCalc!AC15))</f>
        <v/>
      </c>
      <c r="AG36" s="825"/>
      <c r="AH36" s="176" t="str">
        <f>IF(NOT(QUOTE_Split_SoftwareHardware),QCalc!R46,QCalc!AF15)</f>
        <v/>
      </c>
      <c r="AI36" s="177" t="str">
        <f>IF(NOT(QUOTE_Split_SoftwareHardware),QCalc!S46,QCalc!AG15)</f>
        <v/>
      </c>
    </row>
    <row r="37" spans="1:35" ht="11" customHeight="1" x14ac:dyDescent="0.2">
      <c r="A37" s="84"/>
      <c r="B37" s="73" t="str">
        <f>IF(AND(C37&gt;0,C37&lt;&gt;"",AND(LEFT(D37,7)&lt;&gt;"   • Wi",LEFT(D37,7)&lt;&gt;"   • XL")),
COUNT($C$24:C37),"")</f>
        <v/>
      </c>
      <c r="C37" s="82" t="str">
        <f>IF(NOT(QUOTE_Split_SoftwareHardware),QCalc!Q16,QCalc!X16)</f>
        <v/>
      </c>
      <c r="D37" s="823" t="str">
        <f>IF(NOT(QUOTE_Split_SoftwareHardware),QCalc!N16,QCalc!U16)</f>
        <v/>
      </c>
      <c r="E37" s="823"/>
      <c r="F37" s="823"/>
      <c r="G37" s="823"/>
      <c r="H37" s="823"/>
      <c r="I37" s="823"/>
      <c r="J37" s="823"/>
      <c r="K37" s="823"/>
      <c r="L37" s="823"/>
      <c r="M37" s="823"/>
      <c r="N37" s="824" t="str">
        <f>IF(NOT(QUOTE_Split_SoftwareHardware),
IF(QUOTE_DetailedPrices,QCalc!P16,QCalc!O16),
IF(QUOTE_DetailedPrices,QCalc!W16,QCalc!V16))</f>
        <v/>
      </c>
      <c r="O37" s="825"/>
      <c r="P37" s="176" t="str">
        <f>IF(NOT(QUOTE_Split_SoftwareHardware),QCalc!R16,QCalc!Y16)</f>
        <v/>
      </c>
      <c r="Q37" s="177" t="str">
        <f>IF(NOT(QUOTE_Split_SoftwareHardware),QCalc!S16,QCalc!Z16)</f>
        <v/>
      </c>
      <c r="S37" s="84"/>
      <c r="T37" s="73" t="str">
        <f>IF(AND(U37&gt;0,U37&lt;&gt;"",AND(LEFT(V37,7)&lt;&gt;"   • Wi",LEFT(V37,7)&lt;&gt;"   • XL")),
COUNT($U$24:U37)
+IF(NOT(QUOTE_Split_SoftwareHardware),MAX($B$24:$B$54),0),"")</f>
        <v/>
      </c>
      <c r="U37" s="82" t="str">
        <f>IF(NOT(QUOTE_Split_SoftwareHardware),QCalc!Q47,QCalc!AE16)</f>
        <v/>
      </c>
      <c r="V37" s="822" t="str">
        <f>IF(NOT(QUOTE_Split_SoftwareHardware),QCalc!N47,QCalc!AB16)</f>
        <v/>
      </c>
      <c r="W37" s="823"/>
      <c r="X37" s="823"/>
      <c r="Y37" s="823"/>
      <c r="Z37" s="823"/>
      <c r="AA37" s="823"/>
      <c r="AB37" s="823"/>
      <c r="AC37" s="823"/>
      <c r="AD37" s="823"/>
      <c r="AE37" s="823"/>
      <c r="AF37" s="824" t="str">
        <f>IF(NOT(QUOTE_Split_SoftwareHardware),
IF(QUOTE_DetailedPrices,QCalc!P47,QCalc!O47),
IF(QUOTE_DetailedPrices,QCalc!AD16,QCalc!AC16))</f>
        <v/>
      </c>
      <c r="AG37" s="825"/>
      <c r="AH37" s="176" t="str">
        <f>IF(NOT(QUOTE_Split_SoftwareHardware),QCalc!R47,QCalc!AF16)</f>
        <v/>
      </c>
      <c r="AI37" s="177" t="str">
        <f>IF(NOT(QUOTE_Split_SoftwareHardware),QCalc!S47,QCalc!AG16)</f>
        <v/>
      </c>
    </row>
    <row r="38" spans="1:35" ht="11" customHeight="1" x14ac:dyDescent="0.2">
      <c r="A38" s="84"/>
      <c r="B38" s="73" t="str">
        <f>IF(AND(C38&gt;0,C38&lt;&gt;"",AND(LEFT(D38,7)&lt;&gt;"   • Wi",LEFT(D38,7)&lt;&gt;"   • XL")),
COUNT($C$24:C38),"")</f>
        <v/>
      </c>
      <c r="C38" s="82" t="str">
        <f>IF(NOT(QUOTE_Split_SoftwareHardware),QCalc!Q17,QCalc!X17)</f>
        <v/>
      </c>
      <c r="D38" s="823" t="str">
        <f>IF(NOT(QUOTE_Split_SoftwareHardware),QCalc!N17,QCalc!U17)</f>
        <v/>
      </c>
      <c r="E38" s="823"/>
      <c r="F38" s="823"/>
      <c r="G38" s="823"/>
      <c r="H38" s="823"/>
      <c r="I38" s="823"/>
      <c r="J38" s="823"/>
      <c r="K38" s="823"/>
      <c r="L38" s="823"/>
      <c r="M38" s="823"/>
      <c r="N38" s="824" t="str">
        <f>IF(NOT(QUOTE_Split_SoftwareHardware),
IF(QUOTE_DetailedPrices,QCalc!P17,QCalc!O17),
IF(QUOTE_DetailedPrices,QCalc!W17,QCalc!V17))</f>
        <v/>
      </c>
      <c r="O38" s="825"/>
      <c r="P38" s="176" t="str">
        <f>IF(NOT(QUOTE_Split_SoftwareHardware),QCalc!R17,QCalc!Y17)</f>
        <v/>
      </c>
      <c r="Q38" s="177" t="str">
        <f>IF(NOT(QUOTE_Split_SoftwareHardware),QCalc!S17,QCalc!Z17)</f>
        <v/>
      </c>
      <c r="S38" s="84"/>
      <c r="T38" s="73" t="str">
        <f>IF(AND(U38&gt;0,U38&lt;&gt;"",AND(LEFT(V38,7)&lt;&gt;"   • Wi",LEFT(V38,7)&lt;&gt;"   • XL")),
COUNT($U$24:U38)
+IF(NOT(QUOTE_Split_SoftwareHardware),MAX($B$24:$B$54),0),"")</f>
        <v/>
      </c>
      <c r="U38" s="82" t="str">
        <f>IF(NOT(QUOTE_Split_SoftwareHardware),QCalc!Q48,QCalc!AE17)</f>
        <v/>
      </c>
      <c r="V38" s="822" t="str">
        <f>IF(NOT(QUOTE_Split_SoftwareHardware),QCalc!N48,QCalc!AB17)</f>
        <v/>
      </c>
      <c r="W38" s="823"/>
      <c r="X38" s="823"/>
      <c r="Y38" s="823"/>
      <c r="Z38" s="823"/>
      <c r="AA38" s="823"/>
      <c r="AB38" s="823"/>
      <c r="AC38" s="823"/>
      <c r="AD38" s="823"/>
      <c r="AE38" s="823"/>
      <c r="AF38" s="824" t="str">
        <f>IF(NOT(QUOTE_Split_SoftwareHardware),
IF(QUOTE_DetailedPrices,QCalc!P48,QCalc!O48),
IF(QUOTE_DetailedPrices,QCalc!AD17,QCalc!AC17))</f>
        <v/>
      </c>
      <c r="AG38" s="825"/>
      <c r="AH38" s="176" t="str">
        <f>IF(NOT(QUOTE_Split_SoftwareHardware),QCalc!R48,QCalc!AF17)</f>
        <v/>
      </c>
      <c r="AI38" s="177" t="str">
        <f>IF(NOT(QUOTE_Split_SoftwareHardware),QCalc!S48,QCalc!AG17)</f>
        <v/>
      </c>
    </row>
    <row r="39" spans="1:35" ht="11" customHeight="1" x14ac:dyDescent="0.2">
      <c r="A39" s="84"/>
      <c r="B39" s="73" t="str">
        <f>IF(AND(C39&gt;0,C39&lt;&gt;"",AND(LEFT(D39,7)&lt;&gt;"   • Wi",LEFT(D39,7)&lt;&gt;"   • XL")),
COUNT($C$24:C39),"")</f>
        <v/>
      </c>
      <c r="C39" s="82" t="str">
        <f>IF(NOT(QUOTE_Split_SoftwareHardware),QCalc!Q18,QCalc!X18)</f>
        <v/>
      </c>
      <c r="D39" s="823" t="str">
        <f>IF(NOT(QUOTE_Split_SoftwareHardware),QCalc!N18,QCalc!U18)</f>
        <v/>
      </c>
      <c r="E39" s="823"/>
      <c r="F39" s="823"/>
      <c r="G39" s="823"/>
      <c r="H39" s="823"/>
      <c r="I39" s="823"/>
      <c r="J39" s="823"/>
      <c r="K39" s="823"/>
      <c r="L39" s="823"/>
      <c r="M39" s="823"/>
      <c r="N39" s="824" t="str">
        <f>IF(NOT(QUOTE_Split_SoftwareHardware),
IF(QUOTE_DetailedPrices,QCalc!P18,QCalc!O18),
IF(QUOTE_DetailedPrices,QCalc!W18,QCalc!V18))</f>
        <v/>
      </c>
      <c r="O39" s="825"/>
      <c r="P39" s="176" t="str">
        <f>IF(NOT(QUOTE_Split_SoftwareHardware),QCalc!R18,QCalc!Y18)</f>
        <v/>
      </c>
      <c r="Q39" s="177" t="str">
        <f>IF(NOT(QUOTE_Split_SoftwareHardware),QCalc!S18,QCalc!Z18)</f>
        <v/>
      </c>
      <c r="S39" s="84"/>
      <c r="T39" s="73" t="str">
        <f>IF(AND(U39&gt;0,U39&lt;&gt;"",AND(LEFT(V39,7)&lt;&gt;"   • Wi",LEFT(V39,7)&lt;&gt;"   • XL")),
COUNT($U$24:U39)
+IF(NOT(QUOTE_Split_SoftwareHardware),MAX($B$24:$B$54),0),"")</f>
        <v/>
      </c>
      <c r="U39" s="82" t="str">
        <f>IF(NOT(QUOTE_Split_SoftwareHardware),QCalc!Q49,QCalc!AE18)</f>
        <v/>
      </c>
      <c r="V39" s="822" t="str">
        <f>IF(NOT(QUOTE_Split_SoftwareHardware),QCalc!N49,QCalc!AB18)</f>
        <v/>
      </c>
      <c r="W39" s="823"/>
      <c r="X39" s="823"/>
      <c r="Y39" s="823"/>
      <c r="Z39" s="823"/>
      <c r="AA39" s="823"/>
      <c r="AB39" s="823"/>
      <c r="AC39" s="823"/>
      <c r="AD39" s="823"/>
      <c r="AE39" s="823"/>
      <c r="AF39" s="824" t="str">
        <f>IF(NOT(QUOTE_Split_SoftwareHardware),
IF(QUOTE_DetailedPrices,QCalc!P49,QCalc!O49),
IF(QUOTE_DetailedPrices,QCalc!AD18,QCalc!AC18))</f>
        <v/>
      </c>
      <c r="AG39" s="825"/>
      <c r="AH39" s="176" t="str">
        <f>IF(NOT(QUOTE_Split_SoftwareHardware),QCalc!R49,QCalc!AF18)</f>
        <v/>
      </c>
      <c r="AI39" s="177" t="str">
        <f>IF(NOT(QUOTE_Split_SoftwareHardware),QCalc!S49,QCalc!AG18)</f>
        <v/>
      </c>
    </row>
    <row r="40" spans="1:35" ht="11" customHeight="1" x14ac:dyDescent="0.2">
      <c r="A40" s="84"/>
      <c r="B40" s="73" t="str">
        <f>IF(AND(C40&gt;0,C40&lt;&gt;"",AND(LEFT(D40,7)&lt;&gt;"   • Wi",LEFT(D40,7)&lt;&gt;"   • XL")),
COUNT($C$24:C40),"")</f>
        <v/>
      </c>
      <c r="C40" s="82" t="str">
        <f>IF(NOT(QUOTE_Split_SoftwareHardware),QCalc!Q19,QCalc!X19)</f>
        <v/>
      </c>
      <c r="D40" s="823" t="str">
        <f>IF(NOT(QUOTE_Split_SoftwareHardware),QCalc!N19,QCalc!U19)</f>
        <v/>
      </c>
      <c r="E40" s="823"/>
      <c r="F40" s="823"/>
      <c r="G40" s="823"/>
      <c r="H40" s="823"/>
      <c r="I40" s="823"/>
      <c r="J40" s="823"/>
      <c r="K40" s="823"/>
      <c r="L40" s="823"/>
      <c r="M40" s="823"/>
      <c r="N40" s="824" t="str">
        <f>IF(NOT(QUOTE_Split_SoftwareHardware),
IF(QUOTE_DetailedPrices,QCalc!P19,QCalc!O19),
IF(QUOTE_DetailedPrices,QCalc!W19,QCalc!V19))</f>
        <v/>
      </c>
      <c r="O40" s="825"/>
      <c r="P40" s="176" t="str">
        <f>IF(NOT(QUOTE_Split_SoftwareHardware),QCalc!R19,QCalc!Y19)</f>
        <v/>
      </c>
      <c r="Q40" s="177" t="str">
        <f>IF(NOT(QUOTE_Split_SoftwareHardware),QCalc!S19,QCalc!Z19)</f>
        <v/>
      </c>
      <c r="S40" s="84"/>
      <c r="T40" s="73" t="str">
        <f>IF(AND(U40&gt;0,U40&lt;&gt;"",AND(LEFT(V40,7)&lt;&gt;"   • Wi",LEFT(V40,7)&lt;&gt;"   • XL")),
COUNT($U$24:U40)
+IF(NOT(QUOTE_Split_SoftwareHardware),MAX($B$24:$B$54),0),"")</f>
        <v/>
      </c>
      <c r="U40" s="82" t="str">
        <f>IF(NOT(QUOTE_Split_SoftwareHardware),QCalc!Q50,QCalc!AE19)</f>
        <v/>
      </c>
      <c r="V40" s="822" t="str">
        <f>IF(NOT(QUOTE_Split_SoftwareHardware),QCalc!N50,QCalc!AB19)</f>
        <v/>
      </c>
      <c r="W40" s="823"/>
      <c r="X40" s="823"/>
      <c r="Y40" s="823"/>
      <c r="Z40" s="823"/>
      <c r="AA40" s="823"/>
      <c r="AB40" s="823"/>
      <c r="AC40" s="823"/>
      <c r="AD40" s="823"/>
      <c r="AE40" s="823"/>
      <c r="AF40" s="824" t="str">
        <f>IF(NOT(QUOTE_Split_SoftwareHardware),
IF(QUOTE_DetailedPrices,QCalc!P50,QCalc!O50),
IF(QUOTE_DetailedPrices,QCalc!AD19,QCalc!AC19))</f>
        <v/>
      </c>
      <c r="AG40" s="825"/>
      <c r="AH40" s="176" t="str">
        <f>IF(NOT(QUOTE_Split_SoftwareHardware),QCalc!R50,QCalc!AF19)</f>
        <v/>
      </c>
      <c r="AI40" s="177" t="str">
        <f>IF(NOT(QUOTE_Split_SoftwareHardware),QCalc!S50,QCalc!AG19)</f>
        <v/>
      </c>
    </row>
    <row r="41" spans="1:35" ht="11" customHeight="1" x14ac:dyDescent="0.2">
      <c r="A41" s="84"/>
      <c r="B41" s="73" t="str">
        <f>IF(AND(C41&gt;0,C41&lt;&gt;"",AND(LEFT(D41,7)&lt;&gt;"   • Wi",LEFT(D41,7)&lt;&gt;"   • XL")),
COUNT($C$24:C41),"")</f>
        <v/>
      </c>
      <c r="C41" s="82" t="str">
        <f>IF(NOT(QUOTE_Split_SoftwareHardware),QCalc!Q20,QCalc!X20)</f>
        <v/>
      </c>
      <c r="D41" s="823" t="str">
        <f>IF(NOT(QUOTE_Split_SoftwareHardware),QCalc!N20,QCalc!U20)</f>
        <v/>
      </c>
      <c r="E41" s="823"/>
      <c r="F41" s="823"/>
      <c r="G41" s="823"/>
      <c r="H41" s="823"/>
      <c r="I41" s="823"/>
      <c r="J41" s="823"/>
      <c r="K41" s="823"/>
      <c r="L41" s="823"/>
      <c r="M41" s="823"/>
      <c r="N41" s="824" t="str">
        <f>IF(NOT(QUOTE_Split_SoftwareHardware),
IF(QUOTE_DetailedPrices,QCalc!P20,QCalc!O20),
IF(QUOTE_DetailedPrices,QCalc!W20,QCalc!V20))</f>
        <v/>
      </c>
      <c r="O41" s="825"/>
      <c r="P41" s="176" t="str">
        <f>IF(NOT(QUOTE_Split_SoftwareHardware),QCalc!R20,QCalc!Y20)</f>
        <v/>
      </c>
      <c r="Q41" s="177" t="str">
        <f>IF(NOT(QUOTE_Split_SoftwareHardware),QCalc!S20,QCalc!Z20)</f>
        <v/>
      </c>
      <c r="S41" s="84"/>
      <c r="T41" s="73" t="str">
        <f>IF(AND(U41&gt;0,U41&lt;&gt;"",AND(LEFT(V41,7)&lt;&gt;"   • Wi",LEFT(V41,7)&lt;&gt;"   • XL")),
COUNT($U$24:U41)
+IF(NOT(QUOTE_Split_SoftwareHardware),MAX($B$24:$B$54),0),"")</f>
        <v/>
      </c>
      <c r="U41" s="82" t="str">
        <f>IF(NOT(QUOTE_Split_SoftwareHardware),QCalc!Q51,QCalc!AE20)</f>
        <v/>
      </c>
      <c r="V41" s="822" t="str">
        <f>IF(NOT(QUOTE_Split_SoftwareHardware),QCalc!N51,QCalc!AB20)</f>
        <v/>
      </c>
      <c r="W41" s="823"/>
      <c r="X41" s="823"/>
      <c r="Y41" s="823"/>
      <c r="Z41" s="823"/>
      <c r="AA41" s="823"/>
      <c r="AB41" s="823"/>
      <c r="AC41" s="823"/>
      <c r="AD41" s="823"/>
      <c r="AE41" s="823"/>
      <c r="AF41" s="824" t="str">
        <f>IF(NOT(QUOTE_Split_SoftwareHardware),
IF(QUOTE_DetailedPrices,QCalc!P51,QCalc!O51),
IF(QUOTE_DetailedPrices,QCalc!AD20,QCalc!AC20))</f>
        <v/>
      </c>
      <c r="AG41" s="825"/>
      <c r="AH41" s="176" t="str">
        <f>IF(NOT(QUOTE_Split_SoftwareHardware),QCalc!R51,QCalc!AF20)</f>
        <v/>
      </c>
      <c r="AI41" s="177" t="str">
        <f>IF(NOT(QUOTE_Split_SoftwareHardware),QCalc!S51,QCalc!AG20)</f>
        <v/>
      </c>
    </row>
    <row r="42" spans="1:35" ht="11" customHeight="1" x14ac:dyDescent="0.2">
      <c r="A42" s="84"/>
      <c r="B42" s="73" t="str">
        <f>IF(AND(C42&gt;0,C42&lt;&gt;"",AND(LEFT(D42,7)&lt;&gt;"   • Wi",LEFT(D42,7)&lt;&gt;"   • XL")),
COUNT($C$24:C42),"")</f>
        <v/>
      </c>
      <c r="C42" s="82" t="str">
        <f>IF(NOT(QUOTE_Split_SoftwareHardware),QCalc!Q21,QCalc!X21)</f>
        <v/>
      </c>
      <c r="D42" s="823" t="str">
        <f>IF(NOT(QUOTE_Split_SoftwareHardware),QCalc!N21,QCalc!U21)</f>
        <v/>
      </c>
      <c r="E42" s="823"/>
      <c r="F42" s="823"/>
      <c r="G42" s="823"/>
      <c r="H42" s="823"/>
      <c r="I42" s="823"/>
      <c r="J42" s="823"/>
      <c r="K42" s="823"/>
      <c r="L42" s="823"/>
      <c r="M42" s="823"/>
      <c r="N42" s="824" t="str">
        <f>IF(NOT(QUOTE_Split_SoftwareHardware),
IF(QUOTE_DetailedPrices,QCalc!P21,QCalc!O21),
IF(QUOTE_DetailedPrices,QCalc!W21,QCalc!V21))</f>
        <v/>
      </c>
      <c r="O42" s="825"/>
      <c r="P42" s="176" t="str">
        <f>IF(NOT(QUOTE_Split_SoftwareHardware),QCalc!R21,QCalc!Y21)</f>
        <v/>
      </c>
      <c r="Q42" s="177" t="str">
        <f>IF(NOT(QUOTE_Split_SoftwareHardware),QCalc!S21,QCalc!Z21)</f>
        <v/>
      </c>
      <c r="S42" s="84"/>
      <c r="T42" s="73" t="str">
        <f>IF(AND(U42&gt;0,U42&lt;&gt;"",AND(LEFT(V42,7)&lt;&gt;"   • Wi",LEFT(V42,7)&lt;&gt;"   • XL")),
COUNT($U$24:U42)
+IF(NOT(QUOTE_Split_SoftwareHardware),MAX($B$24:$B$54),0),"")</f>
        <v/>
      </c>
      <c r="U42" s="82" t="str">
        <f>IF(NOT(QUOTE_Split_SoftwareHardware),QCalc!Q52,QCalc!AE21)</f>
        <v/>
      </c>
      <c r="V42" s="822" t="str">
        <f>IF(NOT(QUOTE_Split_SoftwareHardware),QCalc!N52,QCalc!AB21)</f>
        <v/>
      </c>
      <c r="W42" s="823"/>
      <c r="X42" s="823"/>
      <c r="Y42" s="823"/>
      <c r="Z42" s="823"/>
      <c r="AA42" s="823"/>
      <c r="AB42" s="823"/>
      <c r="AC42" s="823"/>
      <c r="AD42" s="823"/>
      <c r="AE42" s="823"/>
      <c r="AF42" s="824" t="str">
        <f>IF(NOT(QUOTE_Split_SoftwareHardware),
IF(QUOTE_DetailedPrices,QCalc!P52,QCalc!O52),
IF(QUOTE_DetailedPrices,QCalc!AD21,QCalc!AC21))</f>
        <v/>
      </c>
      <c r="AG42" s="825"/>
      <c r="AH42" s="176" t="str">
        <f>IF(NOT(QUOTE_Split_SoftwareHardware),QCalc!R52,QCalc!AF21)</f>
        <v/>
      </c>
      <c r="AI42" s="177" t="str">
        <f>IF(NOT(QUOTE_Split_SoftwareHardware),QCalc!S52,QCalc!AG21)</f>
        <v/>
      </c>
    </row>
    <row r="43" spans="1:35" ht="11" customHeight="1" x14ac:dyDescent="0.2">
      <c r="A43" s="84"/>
      <c r="B43" s="73" t="str">
        <f>IF(AND(C43&gt;0,C43&lt;&gt;"",AND(LEFT(D43,7)&lt;&gt;"   • Wi",LEFT(D43,7)&lt;&gt;"   • XL")),
COUNT($C$24:C43),"")</f>
        <v/>
      </c>
      <c r="C43" s="82" t="str">
        <f>IF(NOT(QUOTE_Split_SoftwareHardware),QCalc!Q22,QCalc!X22)</f>
        <v/>
      </c>
      <c r="D43" s="823" t="str">
        <f>IF(NOT(QUOTE_Split_SoftwareHardware),QCalc!N22,QCalc!U22)</f>
        <v/>
      </c>
      <c r="E43" s="823"/>
      <c r="F43" s="823"/>
      <c r="G43" s="823"/>
      <c r="H43" s="823"/>
      <c r="I43" s="823"/>
      <c r="J43" s="823"/>
      <c r="K43" s="823"/>
      <c r="L43" s="823"/>
      <c r="M43" s="823"/>
      <c r="N43" s="824" t="str">
        <f>IF(NOT(QUOTE_Split_SoftwareHardware),
IF(QUOTE_DetailedPrices,QCalc!P22,QCalc!O22),
IF(QUOTE_DetailedPrices,QCalc!W22,QCalc!V22))</f>
        <v/>
      </c>
      <c r="O43" s="825"/>
      <c r="P43" s="176" t="str">
        <f>IF(NOT(QUOTE_Split_SoftwareHardware),QCalc!R22,QCalc!Y22)</f>
        <v/>
      </c>
      <c r="Q43" s="177" t="str">
        <f>IF(NOT(QUOTE_Split_SoftwareHardware),QCalc!S22,QCalc!Z22)</f>
        <v/>
      </c>
      <c r="S43" s="84"/>
      <c r="T43" s="73" t="str">
        <f>IF(AND(U43&gt;0,U43&lt;&gt;"",AND(LEFT(V43,7)&lt;&gt;"   • Wi",LEFT(V43,7)&lt;&gt;"   • XL")),
COUNT($U$24:U43)
+IF(NOT(QUOTE_Split_SoftwareHardware),MAX($B$24:$B$54),0),"")</f>
        <v/>
      </c>
      <c r="U43" s="82" t="str">
        <f>IF(NOT(QUOTE_Split_SoftwareHardware),QCalc!Q53,QCalc!AE22)</f>
        <v/>
      </c>
      <c r="V43" s="822" t="str">
        <f>IF(NOT(QUOTE_Split_SoftwareHardware),QCalc!N53,QCalc!AB22)</f>
        <v/>
      </c>
      <c r="W43" s="823"/>
      <c r="X43" s="823"/>
      <c r="Y43" s="823"/>
      <c r="Z43" s="823"/>
      <c r="AA43" s="823"/>
      <c r="AB43" s="823"/>
      <c r="AC43" s="823"/>
      <c r="AD43" s="823"/>
      <c r="AE43" s="823"/>
      <c r="AF43" s="824" t="str">
        <f>IF(NOT(QUOTE_Split_SoftwareHardware),
IF(QUOTE_DetailedPrices,QCalc!P53,QCalc!O53),
IF(QUOTE_DetailedPrices,QCalc!AD22,QCalc!AC22))</f>
        <v/>
      </c>
      <c r="AG43" s="825"/>
      <c r="AH43" s="176" t="str">
        <f>IF(NOT(QUOTE_Split_SoftwareHardware),QCalc!R53,QCalc!AF22)</f>
        <v/>
      </c>
      <c r="AI43" s="177" t="str">
        <f>IF(NOT(QUOTE_Split_SoftwareHardware),QCalc!S53,QCalc!AG22)</f>
        <v/>
      </c>
    </row>
    <row r="44" spans="1:35" ht="11" customHeight="1" x14ac:dyDescent="0.2">
      <c r="A44" s="84"/>
      <c r="B44" s="73" t="str">
        <f>IF(AND(C44&gt;0,C44&lt;&gt;"",AND(LEFT(D44,7)&lt;&gt;"   • Wi",LEFT(D44,7)&lt;&gt;"   • XL")),
COUNT($C$24:C44),"")</f>
        <v/>
      </c>
      <c r="C44" s="82" t="str">
        <f>IF(NOT(QUOTE_Split_SoftwareHardware),QCalc!Q23,QCalc!X23)</f>
        <v/>
      </c>
      <c r="D44" s="823" t="str">
        <f>IF(NOT(QUOTE_Split_SoftwareHardware),QCalc!N23,QCalc!U23)</f>
        <v/>
      </c>
      <c r="E44" s="823"/>
      <c r="F44" s="823"/>
      <c r="G44" s="823"/>
      <c r="H44" s="823"/>
      <c r="I44" s="823"/>
      <c r="J44" s="823"/>
      <c r="K44" s="823"/>
      <c r="L44" s="823"/>
      <c r="M44" s="823"/>
      <c r="N44" s="824" t="str">
        <f>IF(NOT(QUOTE_Split_SoftwareHardware),
IF(QUOTE_DetailedPrices,QCalc!P23,QCalc!O23),
IF(QUOTE_DetailedPrices,QCalc!W23,QCalc!V23))</f>
        <v/>
      </c>
      <c r="O44" s="825"/>
      <c r="P44" s="176" t="str">
        <f>IF(NOT(QUOTE_Split_SoftwareHardware),QCalc!R23,QCalc!Y23)</f>
        <v/>
      </c>
      <c r="Q44" s="177" t="str">
        <f>IF(NOT(QUOTE_Split_SoftwareHardware),QCalc!S23,QCalc!Z23)</f>
        <v/>
      </c>
      <c r="S44" s="84"/>
      <c r="T44" s="73" t="str">
        <f>IF(AND(U44&gt;0,U44&lt;&gt;"",AND(LEFT(V44,7)&lt;&gt;"   • Wi",LEFT(V44,7)&lt;&gt;"   • XL")),
COUNT($U$24:U44)
+IF(NOT(QUOTE_Split_SoftwareHardware),MAX($B$24:$B$54),0),"")</f>
        <v/>
      </c>
      <c r="U44" s="82" t="str">
        <f>IF(NOT(QUOTE_Split_SoftwareHardware),QCalc!Q54,QCalc!AE23)</f>
        <v/>
      </c>
      <c r="V44" s="822" t="str">
        <f>IF(NOT(QUOTE_Split_SoftwareHardware),QCalc!N54,QCalc!AB23)</f>
        <v/>
      </c>
      <c r="W44" s="823"/>
      <c r="X44" s="823"/>
      <c r="Y44" s="823"/>
      <c r="Z44" s="823"/>
      <c r="AA44" s="823"/>
      <c r="AB44" s="823"/>
      <c r="AC44" s="823"/>
      <c r="AD44" s="823"/>
      <c r="AE44" s="823"/>
      <c r="AF44" s="824" t="str">
        <f>IF(NOT(QUOTE_Split_SoftwareHardware),
IF(QUOTE_DetailedPrices,QCalc!P54,QCalc!O54),
IF(QUOTE_DetailedPrices,QCalc!AD23,QCalc!AC23))</f>
        <v/>
      </c>
      <c r="AG44" s="825"/>
      <c r="AH44" s="176" t="str">
        <f>IF(NOT(QUOTE_Split_SoftwareHardware),QCalc!R54,QCalc!AF23)</f>
        <v/>
      </c>
      <c r="AI44" s="177" t="str">
        <f>IF(NOT(QUOTE_Split_SoftwareHardware),QCalc!S54,QCalc!AG23)</f>
        <v/>
      </c>
    </row>
    <row r="45" spans="1:35" ht="11" customHeight="1" x14ac:dyDescent="0.2">
      <c r="A45" s="84"/>
      <c r="B45" s="73" t="str">
        <f>IF(AND(C45&gt;0,C45&lt;&gt;"",AND(LEFT(D45,7)&lt;&gt;"   • Wi",LEFT(D45,7)&lt;&gt;"   • XL")),
COUNT($C$24:C45),"")</f>
        <v/>
      </c>
      <c r="C45" s="82" t="str">
        <f>IF(NOT(QUOTE_Split_SoftwareHardware),QCalc!Q24,QCalc!X24)</f>
        <v/>
      </c>
      <c r="D45" s="823" t="str">
        <f>IF(NOT(QUOTE_Split_SoftwareHardware),QCalc!N24,QCalc!U24)</f>
        <v/>
      </c>
      <c r="E45" s="823"/>
      <c r="F45" s="823"/>
      <c r="G45" s="823"/>
      <c r="H45" s="823"/>
      <c r="I45" s="823"/>
      <c r="J45" s="823"/>
      <c r="K45" s="823"/>
      <c r="L45" s="823"/>
      <c r="M45" s="823"/>
      <c r="N45" s="824" t="str">
        <f>IF(NOT(QUOTE_Split_SoftwareHardware),
IF(QUOTE_DetailedPrices,QCalc!P24,QCalc!O24),
IF(QUOTE_DetailedPrices,QCalc!W24,QCalc!V24))</f>
        <v/>
      </c>
      <c r="O45" s="825"/>
      <c r="P45" s="176" t="str">
        <f>IF(NOT(QUOTE_Split_SoftwareHardware),QCalc!R24,QCalc!Y24)</f>
        <v/>
      </c>
      <c r="Q45" s="177" t="str">
        <f>IF(NOT(QUOTE_Split_SoftwareHardware),QCalc!S24,QCalc!Z24)</f>
        <v/>
      </c>
      <c r="S45" s="84"/>
      <c r="T45" s="73" t="str">
        <f>IF(AND(U45&gt;0,U45&lt;&gt;"",AND(LEFT(V45,7)&lt;&gt;"   • Wi",LEFT(V45,7)&lt;&gt;"   • XL")),
COUNT($U$24:U45)
+IF(NOT(QUOTE_Split_SoftwareHardware),MAX($B$24:$B$54),0),"")</f>
        <v/>
      </c>
      <c r="U45" s="82" t="str">
        <f>IF(NOT(QUOTE_Split_SoftwareHardware),QCalc!Q55,QCalc!AE24)</f>
        <v/>
      </c>
      <c r="V45" s="822" t="str">
        <f>IF(NOT(QUOTE_Split_SoftwareHardware),QCalc!N55,QCalc!AB24)</f>
        <v/>
      </c>
      <c r="W45" s="823"/>
      <c r="X45" s="823"/>
      <c r="Y45" s="823"/>
      <c r="Z45" s="823"/>
      <c r="AA45" s="823"/>
      <c r="AB45" s="823"/>
      <c r="AC45" s="823"/>
      <c r="AD45" s="823"/>
      <c r="AE45" s="823"/>
      <c r="AF45" s="824" t="str">
        <f>IF(NOT(QUOTE_Split_SoftwareHardware),
IF(QUOTE_DetailedPrices,QCalc!P55,QCalc!O55),
IF(QUOTE_DetailedPrices,QCalc!AD24,QCalc!AC24))</f>
        <v/>
      </c>
      <c r="AG45" s="825"/>
      <c r="AH45" s="176" t="str">
        <f>IF(NOT(QUOTE_Split_SoftwareHardware),QCalc!R55,QCalc!AF24)</f>
        <v/>
      </c>
      <c r="AI45" s="177" t="str">
        <f>IF(NOT(QUOTE_Split_SoftwareHardware),QCalc!S55,QCalc!AG24)</f>
        <v/>
      </c>
    </row>
    <row r="46" spans="1:35" ht="11" customHeight="1" x14ac:dyDescent="0.2">
      <c r="A46" s="84"/>
      <c r="B46" s="73" t="str">
        <f>IF(AND(C46&gt;0,C46&lt;&gt;"",AND(LEFT(D46,7)&lt;&gt;"   • Wi",LEFT(D46,7)&lt;&gt;"   • XL")),
COUNT($C$24:C46),"")</f>
        <v/>
      </c>
      <c r="C46" s="82" t="str">
        <f>IF(NOT(QUOTE_Split_SoftwareHardware),QCalc!Q25,QCalc!X25)</f>
        <v/>
      </c>
      <c r="D46" s="823" t="str">
        <f>IF(NOT(QUOTE_Split_SoftwareHardware),QCalc!N25,QCalc!U25)</f>
        <v/>
      </c>
      <c r="E46" s="823"/>
      <c r="F46" s="823"/>
      <c r="G46" s="823"/>
      <c r="H46" s="823"/>
      <c r="I46" s="823"/>
      <c r="J46" s="823"/>
      <c r="K46" s="823"/>
      <c r="L46" s="823"/>
      <c r="M46" s="823"/>
      <c r="N46" s="824" t="str">
        <f>IF(NOT(QUOTE_Split_SoftwareHardware),
IF(QUOTE_DetailedPrices,QCalc!P25,QCalc!O25),
IF(QUOTE_DetailedPrices,QCalc!W25,QCalc!V25))</f>
        <v/>
      </c>
      <c r="O46" s="825"/>
      <c r="P46" s="176" t="str">
        <f>IF(NOT(QUOTE_Split_SoftwareHardware),QCalc!R25,QCalc!Y25)</f>
        <v/>
      </c>
      <c r="Q46" s="177" t="str">
        <f>IF(NOT(QUOTE_Split_SoftwareHardware),QCalc!S25,QCalc!Z25)</f>
        <v/>
      </c>
      <c r="S46" s="84"/>
      <c r="T46" s="73" t="str">
        <f>IF(AND(U46&gt;0,U46&lt;&gt;"",AND(LEFT(V46,7)&lt;&gt;"   • Wi",LEFT(V46,7)&lt;&gt;"   • XL")),
COUNT($U$24:U46)
+IF(NOT(QUOTE_Split_SoftwareHardware),MAX($B$24:$B$54),0),"")</f>
        <v/>
      </c>
      <c r="U46" s="82" t="str">
        <f>IF(NOT(QUOTE_Split_SoftwareHardware),QCalc!Q56,QCalc!AE25)</f>
        <v/>
      </c>
      <c r="V46" s="822" t="str">
        <f>IF(NOT(QUOTE_Split_SoftwareHardware),QCalc!N56,QCalc!AB25)</f>
        <v/>
      </c>
      <c r="W46" s="823"/>
      <c r="X46" s="823"/>
      <c r="Y46" s="823"/>
      <c r="Z46" s="823"/>
      <c r="AA46" s="823"/>
      <c r="AB46" s="823"/>
      <c r="AC46" s="823"/>
      <c r="AD46" s="823"/>
      <c r="AE46" s="823"/>
      <c r="AF46" s="824" t="str">
        <f>IF(NOT(QUOTE_Split_SoftwareHardware),
IF(QUOTE_DetailedPrices,QCalc!P56,QCalc!O56),
IF(QUOTE_DetailedPrices,QCalc!AD25,QCalc!AC25))</f>
        <v/>
      </c>
      <c r="AG46" s="825"/>
      <c r="AH46" s="176" t="str">
        <f>IF(NOT(QUOTE_Split_SoftwareHardware),QCalc!R56,QCalc!AF25)</f>
        <v/>
      </c>
      <c r="AI46" s="177" t="str">
        <f>IF(NOT(QUOTE_Split_SoftwareHardware),QCalc!S56,QCalc!AG25)</f>
        <v/>
      </c>
    </row>
    <row r="47" spans="1:35" ht="11" customHeight="1" x14ac:dyDescent="0.2">
      <c r="A47" s="84"/>
      <c r="B47" s="73" t="str">
        <f>IF(AND(C47&gt;0,C47&lt;&gt;"",AND(LEFT(D47,7)&lt;&gt;"   • Wi",LEFT(D47,7)&lt;&gt;"   • XL")),
COUNT($C$24:C47),"")</f>
        <v/>
      </c>
      <c r="C47" s="82" t="str">
        <f>IF(NOT(QUOTE_Split_SoftwareHardware),QCalc!Q26,QCalc!X26)</f>
        <v/>
      </c>
      <c r="D47" s="823" t="str">
        <f>IF(NOT(QUOTE_Split_SoftwareHardware),QCalc!N26,QCalc!U26)</f>
        <v/>
      </c>
      <c r="E47" s="823"/>
      <c r="F47" s="823"/>
      <c r="G47" s="823"/>
      <c r="H47" s="823"/>
      <c r="I47" s="823"/>
      <c r="J47" s="823"/>
      <c r="K47" s="823"/>
      <c r="L47" s="823"/>
      <c r="M47" s="823"/>
      <c r="N47" s="824" t="str">
        <f>IF(NOT(QUOTE_Split_SoftwareHardware),
IF(QUOTE_DetailedPrices,QCalc!P26,QCalc!O26),
IF(QUOTE_DetailedPrices,QCalc!W26,QCalc!V26))</f>
        <v/>
      </c>
      <c r="O47" s="825"/>
      <c r="P47" s="176" t="str">
        <f>IF(NOT(QUOTE_Split_SoftwareHardware),QCalc!R26,QCalc!Y26)</f>
        <v/>
      </c>
      <c r="Q47" s="177" t="str">
        <f>IF(NOT(QUOTE_Split_SoftwareHardware),QCalc!S26,QCalc!Z26)</f>
        <v/>
      </c>
      <c r="S47" s="84"/>
      <c r="T47" s="73" t="str">
        <f>IF(AND(U47&gt;0,U47&lt;&gt;"",AND(LEFT(V47,7)&lt;&gt;"   • Wi",LEFT(V47,7)&lt;&gt;"   • XL")),
COUNT($U$24:U47)
+IF(NOT(QUOTE_Split_SoftwareHardware),MAX($B$24:$B$54),0),"")</f>
        <v/>
      </c>
      <c r="U47" s="82" t="str">
        <f>IF(NOT(QUOTE_Split_SoftwareHardware),QCalc!Q57,QCalc!AE26)</f>
        <v/>
      </c>
      <c r="V47" s="822" t="str">
        <f>IF(NOT(QUOTE_Split_SoftwareHardware),QCalc!N57,QCalc!AB26)</f>
        <v/>
      </c>
      <c r="W47" s="823"/>
      <c r="X47" s="823"/>
      <c r="Y47" s="823"/>
      <c r="Z47" s="823"/>
      <c r="AA47" s="823"/>
      <c r="AB47" s="823"/>
      <c r="AC47" s="823"/>
      <c r="AD47" s="823"/>
      <c r="AE47" s="823"/>
      <c r="AF47" s="824" t="str">
        <f>IF(NOT(QUOTE_Split_SoftwareHardware),
IF(QUOTE_DetailedPrices,QCalc!P57,QCalc!O57),
IF(QUOTE_DetailedPrices,QCalc!AD26,QCalc!AC26))</f>
        <v/>
      </c>
      <c r="AG47" s="825"/>
      <c r="AH47" s="176" t="str">
        <f>IF(NOT(QUOTE_Split_SoftwareHardware),QCalc!R57,QCalc!AF26)</f>
        <v/>
      </c>
      <c r="AI47" s="177" t="str">
        <f>IF(NOT(QUOTE_Split_SoftwareHardware),QCalc!S57,QCalc!AG26)</f>
        <v/>
      </c>
    </row>
    <row r="48" spans="1:35" ht="11" customHeight="1" x14ac:dyDescent="0.2">
      <c r="A48" s="84"/>
      <c r="B48" s="73" t="str">
        <f>IF(AND(C48&gt;0,C48&lt;&gt;"",AND(LEFT(D48,7)&lt;&gt;"   • Wi",LEFT(D48,7)&lt;&gt;"   • XL")),
COUNT($C$24:C48),"")</f>
        <v/>
      </c>
      <c r="C48" s="82" t="str">
        <f>IF(NOT(QUOTE_Split_SoftwareHardware),QCalc!Q27,QCalc!X27)</f>
        <v/>
      </c>
      <c r="D48" s="823" t="str">
        <f>IF(NOT(QUOTE_Split_SoftwareHardware),QCalc!N27,QCalc!U27)</f>
        <v/>
      </c>
      <c r="E48" s="823"/>
      <c r="F48" s="823"/>
      <c r="G48" s="823"/>
      <c r="H48" s="823"/>
      <c r="I48" s="823"/>
      <c r="J48" s="823"/>
      <c r="K48" s="823"/>
      <c r="L48" s="823"/>
      <c r="M48" s="823"/>
      <c r="N48" s="824" t="str">
        <f>IF(NOT(QUOTE_Split_SoftwareHardware),
IF(QUOTE_DetailedPrices,QCalc!P27,QCalc!O27),
IF(QUOTE_DetailedPrices,QCalc!W27,QCalc!V27))</f>
        <v/>
      </c>
      <c r="O48" s="825"/>
      <c r="P48" s="176" t="str">
        <f>IF(NOT(QUOTE_Split_SoftwareHardware),QCalc!R27,QCalc!Y27)</f>
        <v/>
      </c>
      <c r="Q48" s="177" t="str">
        <f>IF(NOT(QUOTE_Split_SoftwareHardware),QCalc!S27,QCalc!Z27)</f>
        <v/>
      </c>
      <c r="S48" s="84"/>
      <c r="T48" s="73" t="str">
        <f>IF(AND(U48&gt;0,U48&lt;&gt;"",AND(LEFT(V48,7)&lt;&gt;"   • Wi",LEFT(V48,7)&lt;&gt;"   • XL")),
COUNT($U$24:U48)
+IF(NOT(QUOTE_Split_SoftwareHardware),MAX($B$24:$B$54),0),"")</f>
        <v/>
      </c>
      <c r="U48" s="82" t="str">
        <f>IF(NOT(QUOTE_Split_SoftwareHardware),QCalc!Q58,QCalc!AE27)</f>
        <v/>
      </c>
      <c r="V48" s="822" t="str">
        <f>IF(NOT(QUOTE_Split_SoftwareHardware),QCalc!N58,QCalc!AB27)</f>
        <v/>
      </c>
      <c r="W48" s="823"/>
      <c r="X48" s="823"/>
      <c r="Y48" s="823"/>
      <c r="Z48" s="823"/>
      <c r="AA48" s="823"/>
      <c r="AB48" s="823"/>
      <c r="AC48" s="823"/>
      <c r="AD48" s="823"/>
      <c r="AE48" s="823"/>
      <c r="AF48" s="824" t="str">
        <f>IF(NOT(QUOTE_Split_SoftwareHardware),
IF(QUOTE_DetailedPrices,QCalc!P58,QCalc!O58),
IF(QUOTE_DetailedPrices,QCalc!AD27,QCalc!AC27))</f>
        <v/>
      </c>
      <c r="AG48" s="825"/>
      <c r="AH48" s="176" t="str">
        <f>IF(NOT(QUOTE_Split_SoftwareHardware),QCalc!R58,QCalc!AF27)</f>
        <v/>
      </c>
      <c r="AI48" s="177" t="str">
        <f>IF(NOT(QUOTE_Split_SoftwareHardware),QCalc!S58,QCalc!AG27)</f>
        <v/>
      </c>
    </row>
    <row r="49" spans="1:35" ht="11" customHeight="1" x14ac:dyDescent="0.2">
      <c r="A49" s="84"/>
      <c r="B49" s="73" t="str">
        <f>IF(AND(C49&gt;0,C49&lt;&gt;"",AND(LEFT(D49,7)&lt;&gt;"   • Wi",LEFT(D49,7)&lt;&gt;"   • XL")),
COUNT($C$24:C49),"")</f>
        <v/>
      </c>
      <c r="C49" s="82" t="str">
        <f>IF(NOT(QUOTE_Split_SoftwareHardware),QCalc!Q28,QCalc!X28)</f>
        <v/>
      </c>
      <c r="D49" s="823" t="str">
        <f>IF(NOT(QUOTE_Split_SoftwareHardware),QCalc!N28,QCalc!U28)</f>
        <v/>
      </c>
      <c r="E49" s="823"/>
      <c r="F49" s="823"/>
      <c r="G49" s="823"/>
      <c r="H49" s="823"/>
      <c r="I49" s="823"/>
      <c r="J49" s="823"/>
      <c r="K49" s="823"/>
      <c r="L49" s="823"/>
      <c r="M49" s="823"/>
      <c r="N49" s="824" t="str">
        <f>IF(NOT(QUOTE_Split_SoftwareHardware),
IF(QUOTE_DetailedPrices,QCalc!P28,QCalc!O28),
IF(QUOTE_DetailedPrices,QCalc!W28,QCalc!V28))</f>
        <v/>
      </c>
      <c r="O49" s="825"/>
      <c r="P49" s="176" t="str">
        <f>IF(NOT(QUOTE_Split_SoftwareHardware),QCalc!R28,QCalc!Y28)</f>
        <v/>
      </c>
      <c r="Q49" s="177" t="str">
        <f>IF(NOT(QUOTE_Split_SoftwareHardware),QCalc!S28,QCalc!Z28)</f>
        <v/>
      </c>
      <c r="S49" s="84"/>
      <c r="T49" s="73" t="str">
        <f>IF(AND(U49&gt;0,U49&lt;&gt;"",AND(LEFT(V49,7)&lt;&gt;"   • Wi",LEFT(V49,7)&lt;&gt;"   • XL")),
COUNT($U$24:U49)
+IF(NOT(QUOTE_Split_SoftwareHardware),MAX($B$24:$B$54),0),"")</f>
        <v/>
      </c>
      <c r="U49" s="82" t="str">
        <f>IF(NOT(QUOTE_Split_SoftwareHardware),QCalc!Q59,QCalc!AE28)</f>
        <v/>
      </c>
      <c r="V49" s="822" t="str">
        <f>IF(NOT(QUOTE_Split_SoftwareHardware),QCalc!N59,QCalc!AB28)</f>
        <v/>
      </c>
      <c r="W49" s="823"/>
      <c r="X49" s="823"/>
      <c r="Y49" s="823"/>
      <c r="Z49" s="823"/>
      <c r="AA49" s="823"/>
      <c r="AB49" s="823"/>
      <c r="AC49" s="823"/>
      <c r="AD49" s="823"/>
      <c r="AE49" s="823"/>
      <c r="AF49" s="824" t="str">
        <f>IF(NOT(QUOTE_Split_SoftwareHardware),
IF(QUOTE_DetailedPrices,QCalc!P59,QCalc!O59),
IF(QUOTE_DetailedPrices,QCalc!AD28,QCalc!AC28))</f>
        <v/>
      </c>
      <c r="AG49" s="825"/>
      <c r="AH49" s="176" t="str">
        <f>IF(NOT(QUOTE_Split_SoftwareHardware),QCalc!R59,QCalc!AF28)</f>
        <v/>
      </c>
      <c r="AI49" s="177" t="str">
        <f>IF(NOT(QUOTE_Split_SoftwareHardware),QCalc!S59,QCalc!AG28)</f>
        <v/>
      </c>
    </row>
    <row r="50" spans="1:35" ht="11" customHeight="1" x14ac:dyDescent="0.2">
      <c r="A50" s="84"/>
      <c r="B50" s="73" t="str">
        <f>IF(AND(C50&gt;0,C50&lt;&gt;"",AND(LEFT(D50,7)&lt;&gt;"   • Wi",LEFT(D50,7)&lt;&gt;"   • XL")),
COUNT($C$24:C50),"")</f>
        <v/>
      </c>
      <c r="C50" s="82" t="str">
        <f>IF(NOT(QUOTE_Split_SoftwareHardware),QCalc!Q29,QCalc!X29)</f>
        <v/>
      </c>
      <c r="D50" s="823" t="str">
        <f>IF(NOT(QUOTE_Split_SoftwareHardware),QCalc!N29,QCalc!U29)</f>
        <v/>
      </c>
      <c r="E50" s="823"/>
      <c r="F50" s="823"/>
      <c r="G50" s="823"/>
      <c r="H50" s="823"/>
      <c r="I50" s="823"/>
      <c r="J50" s="823"/>
      <c r="K50" s="823"/>
      <c r="L50" s="823"/>
      <c r="M50" s="823"/>
      <c r="N50" s="824" t="str">
        <f>IF(NOT(QUOTE_Split_SoftwareHardware),
IF(QUOTE_DetailedPrices,QCalc!P29,QCalc!O29),
IF(QUOTE_DetailedPrices,QCalc!W29,QCalc!V29))</f>
        <v/>
      </c>
      <c r="O50" s="825"/>
      <c r="P50" s="176" t="str">
        <f>IF(NOT(QUOTE_Split_SoftwareHardware),QCalc!R29,QCalc!Y29)</f>
        <v/>
      </c>
      <c r="Q50" s="177" t="str">
        <f>IF(NOT(QUOTE_Split_SoftwareHardware),QCalc!S29,QCalc!Z29)</f>
        <v/>
      </c>
      <c r="S50" s="84"/>
      <c r="T50" s="73" t="str">
        <f>IF(AND(U50&gt;0,U50&lt;&gt;"",AND(LEFT(V50,7)&lt;&gt;"   • Wi",LEFT(V50,7)&lt;&gt;"   • XL")),
COUNT($U$24:U50)
+IF(NOT(QUOTE_Split_SoftwareHardware),MAX($B$24:$B$54),0),"")</f>
        <v/>
      </c>
      <c r="U50" s="82" t="str">
        <f>IF(NOT(QUOTE_Split_SoftwareHardware),QCalc!Q60,QCalc!AE29)</f>
        <v/>
      </c>
      <c r="V50" s="822" t="str">
        <f>IF(NOT(QUOTE_Split_SoftwareHardware),QCalc!N60,QCalc!AB29)</f>
        <v/>
      </c>
      <c r="W50" s="823"/>
      <c r="X50" s="823"/>
      <c r="Y50" s="823"/>
      <c r="Z50" s="823"/>
      <c r="AA50" s="823"/>
      <c r="AB50" s="823"/>
      <c r="AC50" s="823"/>
      <c r="AD50" s="823"/>
      <c r="AE50" s="823"/>
      <c r="AF50" s="824" t="str">
        <f>IF(NOT(QUOTE_Split_SoftwareHardware),
IF(QUOTE_DetailedPrices,QCalc!P60,QCalc!O60),
IF(QUOTE_DetailedPrices,QCalc!AD29,QCalc!AC29))</f>
        <v/>
      </c>
      <c r="AG50" s="825"/>
      <c r="AH50" s="176" t="str">
        <f>IF(NOT(QUOTE_Split_SoftwareHardware),QCalc!R60,QCalc!AF29)</f>
        <v/>
      </c>
      <c r="AI50" s="177" t="str">
        <f>IF(NOT(QUOTE_Split_SoftwareHardware),QCalc!S60,QCalc!AG29)</f>
        <v/>
      </c>
    </row>
    <row r="51" spans="1:35" ht="11" customHeight="1" x14ac:dyDescent="0.2">
      <c r="A51" s="84"/>
      <c r="B51" s="73" t="str">
        <f>IF(AND(C51&gt;0,C51&lt;&gt;"",AND(LEFT(D51,7)&lt;&gt;"   • Wi",LEFT(D51,7)&lt;&gt;"   • XL")),
COUNT($C$24:C51),"")</f>
        <v/>
      </c>
      <c r="C51" s="82" t="str">
        <f>IF(NOT(QUOTE_Split_SoftwareHardware),QCalc!Q30,QCalc!X30)</f>
        <v/>
      </c>
      <c r="D51" s="823" t="str">
        <f>IF(NOT(QUOTE_Split_SoftwareHardware),QCalc!N30,QCalc!U30)</f>
        <v/>
      </c>
      <c r="E51" s="823"/>
      <c r="F51" s="823"/>
      <c r="G51" s="823"/>
      <c r="H51" s="823"/>
      <c r="I51" s="823"/>
      <c r="J51" s="823"/>
      <c r="K51" s="823"/>
      <c r="L51" s="823"/>
      <c r="M51" s="823"/>
      <c r="N51" s="824" t="str">
        <f>IF(NOT(QUOTE_Split_SoftwareHardware),
IF(QUOTE_DetailedPrices,QCalc!P30,QCalc!O30),
IF(QUOTE_DetailedPrices,QCalc!W30,QCalc!V30))</f>
        <v/>
      </c>
      <c r="O51" s="825"/>
      <c r="P51" s="176" t="str">
        <f>IF(NOT(QUOTE_Split_SoftwareHardware),QCalc!R30,QCalc!Y30)</f>
        <v/>
      </c>
      <c r="Q51" s="177" t="str">
        <f>IF(NOT(QUOTE_Split_SoftwareHardware),QCalc!S30,QCalc!Z30)</f>
        <v/>
      </c>
      <c r="S51" s="84"/>
      <c r="T51" s="73" t="str">
        <f>IF(AND(U51&gt;0,U51&lt;&gt;"",AND(LEFT(V51,7)&lt;&gt;"   • Wi",LEFT(V51,7)&lt;&gt;"   • XL")),
COUNT($U$24:U51)
+IF(NOT(QUOTE_Split_SoftwareHardware),MAX($B$24:$B$54),0),"")</f>
        <v/>
      </c>
      <c r="U51" s="82" t="str">
        <f>IF(NOT(QUOTE_Split_SoftwareHardware),QCalc!Q61,QCalc!AE30)</f>
        <v/>
      </c>
      <c r="V51" s="822" t="str">
        <f>IF(NOT(QUOTE_Split_SoftwareHardware),QCalc!N61,QCalc!AB30)</f>
        <v/>
      </c>
      <c r="W51" s="823"/>
      <c r="X51" s="823"/>
      <c r="Y51" s="823"/>
      <c r="Z51" s="823"/>
      <c r="AA51" s="823"/>
      <c r="AB51" s="823"/>
      <c r="AC51" s="823"/>
      <c r="AD51" s="823"/>
      <c r="AE51" s="823"/>
      <c r="AF51" s="824" t="str">
        <f>IF(NOT(QUOTE_Split_SoftwareHardware),
IF(QUOTE_DetailedPrices,QCalc!P61,QCalc!O61),
IF(QUOTE_DetailedPrices,QCalc!AD30,QCalc!AC30))</f>
        <v/>
      </c>
      <c r="AG51" s="825"/>
      <c r="AH51" s="176" t="str">
        <f>IF(NOT(QUOTE_Split_SoftwareHardware),QCalc!R61,QCalc!AF30)</f>
        <v/>
      </c>
      <c r="AI51" s="177" t="str">
        <f>IF(NOT(QUOTE_Split_SoftwareHardware),QCalc!S61,QCalc!AG30)</f>
        <v/>
      </c>
    </row>
    <row r="52" spans="1:35" ht="11" customHeight="1" x14ac:dyDescent="0.2">
      <c r="A52" s="84"/>
      <c r="B52" s="73" t="str">
        <f>IF(AND(C52&gt;0,C52&lt;&gt;"",AND(LEFT(D52,7)&lt;&gt;"   • Wi",LEFT(D52,7)&lt;&gt;"   • XL")),
COUNT($C$24:C52),"")</f>
        <v/>
      </c>
      <c r="C52" s="82" t="str">
        <f>IF(NOT(QUOTE_Split_SoftwareHardware),QCalc!Q31,QCalc!X31)</f>
        <v/>
      </c>
      <c r="D52" s="823" t="str">
        <f>IF(NOT(QUOTE_Split_SoftwareHardware),QCalc!N31,QCalc!U31)</f>
        <v/>
      </c>
      <c r="E52" s="823"/>
      <c r="F52" s="823"/>
      <c r="G52" s="823"/>
      <c r="H52" s="823"/>
      <c r="I52" s="823"/>
      <c r="J52" s="823"/>
      <c r="K52" s="823"/>
      <c r="L52" s="823"/>
      <c r="M52" s="823"/>
      <c r="N52" s="824" t="str">
        <f>IF(NOT(QUOTE_Split_SoftwareHardware),
IF(QUOTE_DetailedPrices,QCalc!P31,QCalc!O31),
IF(QUOTE_DetailedPrices,QCalc!W31,QCalc!V31))</f>
        <v/>
      </c>
      <c r="O52" s="825"/>
      <c r="P52" s="176" t="str">
        <f>IF(NOT(QUOTE_Split_SoftwareHardware),QCalc!R31,QCalc!Y31)</f>
        <v/>
      </c>
      <c r="Q52" s="177" t="str">
        <f>IF(NOT(QUOTE_Split_SoftwareHardware),QCalc!S31,QCalc!Z31)</f>
        <v/>
      </c>
      <c r="S52" s="84"/>
      <c r="T52" s="73" t="str">
        <f>IF(AND(U52&gt;0,U52&lt;&gt;"",AND(LEFT(V52,7)&lt;&gt;"   • Wi",LEFT(V52,7)&lt;&gt;"   • XL")),
COUNT($U$24:U52)
+IF(NOT(QUOTE_Split_SoftwareHardware),MAX($B$24:$B$54),0),"")</f>
        <v/>
      </c>
      <c r="U52" s="82" t="str">
        <f>IF(NOT(QUOTE_Split_SoftwareHardware),QCalc!Q62,QCalc!AE31)</f>
        <v/>
      </c>
      <c r="V52" s="822" t="str">
        <f>IF(NOT(QUOTE_Split_SoftwareHardware),QCalc!N62,QCalc!AB31)</f>
        <v/>
      </c>
      <c r="W52" s="823"/>
      <c r="X52" s="823"/>
      <c r="Y52" s="823"/>
      <c r="Z52" s="823"/>
      <c r="AA52" s="823"/>
      <c r="AB52" s="823"/>
      <c r="AC52" s="823"/>
      <c r="AD52" s="823"/>
      <c r="AE52" s="823"/>
      <c r="AF52" s="824" t="str">
        <f>IF(NOT(QUOTE_Split_SoftwareHardware),
IF(QUOTE_DetailedPrices,QCalc!P62,QCalc!O62),
IF(QUOTE_DetailedPrices,QCalc!AD31,QCalc!AC31))</f>
        <v/>
      </c>
      <c r="AG52" s="825"/>
      <c r="AH52" s="176" t="str">
        <f>IF(NOT(QUOTE_Split_SoftwareHardware),QCalc!R62,QCalc!AF31)</f>
        <v/>
      </c>
      <c r="AI52" s="177" t="str">
        <f>IF(NOT(QUOTE_Split_SoftwareHardware),QCalc!S62,QCalc!AG31)</f>
        <v/>
      </c>
    </row>
    <row r="53" spans="1:35" ht="11" customHeight="1" x14ac:dyDescent="0.2">
      <c r="A53" s="84"/>
      <c r="B53" s="73" t="str">
        <f>IF(AND(C53&gt;0,C53&lt;&gt;"",AND(LEFT(D53,7)&lt;&gt;"   • Wi",LEFT(D53,7)&lt;&gt;"   • XL")),
COUNT($C$24:C53),"")</f>
        <v/>
      </c>
      <c r="C53" s="82" t="str">
        <f>IF(NOT(QUOTE_Split_SoftwareHardware),QCalc!Q32,QCalc!X32)</f>
        <v/>
      </c>
      <c r="D53" s="823" t="str">
        <f>IF(NOT(QUOTE_Split_SoftwareHardware),QCalc!N32,QCalc!U32)</f>
        <v/>
      </c>
      <c r="E53" s="823"/>
      <c r="F53" s="823"/>
      <c r="G53" s="823"/>
      <c r="H53" s="823"/>
      <c r="I53" s="823"/>
      <c r="J53" s="823"/>
      <c r="K53" s="823"/>
      <c r="L53" s="823"/>
      <c r="M53" s="823"/>
      <c r="N53" s="824" t="str">
        <f>IF(NOT(QUOTE_Split_SoftwareHardware),
IF(QUOTE_DetailedPrices,QCalc!P32,QCalc!O32),
IF(QUOTE_DetailedPrices,QCalc!W32,QCalc!V32))</f>
        <v/>
      </c>
      <c r="O53" s="825"/>
      <c r="P53" s="176" t="str">
        <f>IF(NOT(QUOTE_Split_SoftwareHardware),QCalc!R32,QCalc!Y32)</f>
        <v/>
      </c>
      <c r="Q53" s="177" t="str">
        <f>IF(NOT(QUOTE_Split_SoftwareHardware),QCalc!S32,QCalc!Z32)</f>
        <v/>
      </c>
      <c r="S53" s="84"/>
      <c r="T53" s="73" t="str">
        <f>IF(AND(U53&gt;0,U53&lt;&gt;"",AND(LEFT(V53,7)&lt;&gt;"   • Wi",LEFT(V53,7)&lt;&gt;"   • XL")),
COUNT($U$24:U53)
+IF(NOT(QUOTE_Split_SoftwareHardware),MAX($B$24:$B$54),0),"")</f>
        <v/>
      </c>
      <c r="U53" s="82" t="str">
        <f>IF(NOT(QUOTE_Split_SoftwareHardware),QCalc!Q63,QCalc!AE32)</f>
        <v/>
      </c>
      <c r="V53" s="822" t="str">
        <f>IF(NOT(QUOTE_Split_SoftwareHardware),QCalc!N63,QCalc!AB32)</f>
        <v/>
      </c>
      <c r="W53" s="823"/>
      <c r="X53" s="823"/>
      <c r="Y53" s="823"/>
      <c r="Z53" s="823"/>
      <c r="AA53" s="823"/>
      <c r="AB53" s="823"/>
      <c r="AC53" s="823"/>
      <c r="AD53" s="823"/>
      <c r="AE53" s="823"/>
      <c r="AF53" s="824" t="str">
        <f>IF(NOT(QUOTE_Split_SoftwareHardware),
IF(QUOTE_DetailedPrices,QCalc!P63,QCalc!O63),
IF(QUOTE_DetailedPrices,QCalc!AD32,QCalc!AC32))</f>
        <v/>
      </c>
      <c r="AG53" s="825"/>
      <c r="AH53" s="176" t="str">
        <f>IF(NOT(QUOTE_Split_SoftwareHardware),QCalc!R63,QCalc!AF32)</f>
        <v/>
      </c>
      <c r="AI53" s="177" t="str">
        <f>IF(NOT(QUOTE_Split_SoftwareHardware),QCalc!S63,QCalc!AG32)</f>
        <v/>
      </c>
    </row>
    <row r="54" spans="1:35" ht="11" customHeight="1" x14ac:dyDescent="0.2">
      <c r="A54" s="84"/>
      <c r="B54" s="73" t="str">
        <f>IF(AND(C54&gt;0,C54&lt;&gt;"",AND(LEFT(D54,7)&lt;&gt;"   • Wi",LEFT(D54,7)&lt;&gt;"   • XL")),
COUNT($C$24:C54),"")</f>
        <v/>
      </c>
      <c r="C54" s="82" t="str">
        <f>IF(NOT(QUOTE_Split_SoftwareHardware),QCalc!Q33,QCalc!X33)</f>
        <v/>
      </c>
      <c r="D54" s="823" t="str">
        <f>IF(NOT(QUOTE_Split_SoftwareHardware),QCalc!N33,QCalc!U33)</f>
        <v/>
      </c>
      <c r="E54" s="823"/>
      <c r="F54" s="823"/>
      <c r="G54" s="823"/>
      <c r="H54" s="823"/>
      <c r="I54" s="823"/>
      <c r="J54" s="823"/>
      <c r="K54" s="823"/>
      <c r="L54" s="823"/>
      <c r="M54" s="823"/>
      <c r="N54" s="824" t="str">
        <f>IF(NOT(QUOTE_Split_SoftwareHardware),
IF(QUOTE_DetailedPrices,QCalc!P33,QCalc!O33),
IF(QUOTE_DetailedPrices,QCalc!W33,QCalc!V33))</f>
        <v/>
      </c>
      <c r="O54" s="825"/>
      <c r="P54" s="176" t="str">
        <f>IF(NOT(QUOTE_Split_SoftwareHardware),QCalc!R33,QCalc!Y33)</f>
        <v/>
      </c>
      <c r="Q54" s="177" t="str">
        <f>IF(NOT(QUOTE_Split_SoftwareHardware),QCalc!S33,QCalc!Z33)</f>
        <v/>
      </c>
      <c r="S54" s="84"/>
      <c r="T54" s="73" t="str">
        <f>IF(AND(U54&gt;0,U54&lt;&gt;"",AND(LEFT(V54,7)&lt;&gt;"   • Wi",LEFT(V54,7)&lt;&gt;"   • XL")),
COUNT($U$24:U54)
+IF(NOT(QUOTE_Split_SoftwareHardware),MAX($B$24:$B$54),0),"")</f>
        <v/>
      </c>
      <c r="U54" s="82" t="str">
        <f>IF(NOT(QUOTE_Split_SoftwareHardware),QCalc!Q64,QCalc!AE33)</f>
        <v/>
      </c>
      <c r="V54" s="822" t="str">
        <f>IF(NOT(QUOTE_Split_SoftwareHardware),QCalc!N64,QCalc!AB33)</f>
        <v/>
      </c>
      <c r="W54" s="823"/>
      <c r="X54" s="823"/>
      <c r="Y54" s="823"/>
      <c r="Z54" s="823"/>
      <c r="AA54" s="823"/>
      <c r="AB54" s="823"/>
      <c r="AC54" s="823"/>
      <c r="AD54" s="823"/>
      <c r="AE54" s="823"/>
      <c r="AF54" s="824" t="str">
        <f>IF(NOT(QUOTE_Split_SoftwareHardware),
IF(QUOTE_DetailedPrices,QCalc!P64,QCalc!O64),
IF(QUOTE_DetailedPrices,QCalc!AD33,QCalc!AC33))</f>
        <v/>
      </c>
      <c r="AG54" s="825"/>
      <c r="AH54" s="176" t="str">
        <f>IF(NOT(QUOTE_Split_SoftwareHardware),QCalc!R64,QCalc!AF33)</f>
        <v/>
      </c>
      <c r="AI54" s="177" t="str">
        <f>IF(NOT(QUOTE_Split_SoftwareHardware),QCalc!S64,QCalc!AG33)</f>
        <v/>
      </c>
    </row>
    <row r="55" spans="1:35" ht="11" customHeight="1" x14ac:dyDescent="0.2">
      <c r="A55" s="85"/>
      <c r="B55" s="114"/>
      <c r="C55" s="87"/>
      <c r="D55" s="848" t="str">
        <f>IF(AND(QUOTE_Split_SoftwareHardware,COUNTIF(TableQCalcMain[ShowSoft],"&gt;0")&gt;31),
IF(Francais,"DÉBORDEMENT, Certains items ne sont pas affichés et facturés","OVERFLOW, Some items are not shown and billed"),
IF(LEFT(QUOTE_CellToWriteDiscount,4)="TRFF",QUOTE_TRFF_Description,
IF(QUOTE_FilledByCustomer,
IF(Francais,"Rabais (1 %) pour la saisie d'informations complètes sur l'acheteur (Facturer à / Expédier à) sur la feuille Home.","Discount (1%) for entering complete buyer information (Bill to/Ship To) on the Home sheet."),
IF(LEFT(QUOTE_CellToWriteDiscount,4)="SUPP",Supp_Description,
IF(RIGHT(Q65,1)&lt;&gt;"1",IF(Francais,"Inclus aussi les items sur la(les) page(s) suivante(s)","Also includes items on next page(s)"),"")))))</f>
        <v/>
      </c>
      <c r="E55" s="849"/>
      <c r="F55" s="849"/>
      <c r="G55" s="849"/>
      <c r="H55" s="849"/>
      <c r="I55" s="849"/>
      <c r="J55" s="849"/>
      <c r="K55" s="849"/>
      <c r="L55" s="849"/>
      <c r="M55" s="849"/>
      <c r="N55" s="844"/>
      <c r="O55" s="845"/>
      <c r="P55" s="730" t="str">
        <f>IF(AND(QUOTE_Split_SoftwareHardware,QUOTE_InternetDownload,Checkbox_Tariffs2),"TRFF500",
IF(QUOTE_FilledByCustomer,"DISC010",""))</f>
        <v/>
      </c>
      <c r="Q55" s="753" t="str">
        <f>IFERROR(IF(AND(FIND("DISC",LEFT(P55,4)),ISNUMBER(_xlfn.NUMBERVALUE(RIGHT(P55,3)))),
(SUM(Q24:Q54)+SUM(AI24:AI54))*_xlfn.NUMBERVALUE(RIGHT(P55,3)/-1000),
0),
IFERROR(IF(AND(FIND("SUPP",LEFT(P55,4)),ISNUMBER(_xlfn.NUMBERVALUE(RIGHT(P55,3)))),
(SUM(Q24:Q54)+SUM(AI24:AI54))*_xlfn.NUMBERVALUE(RIGHT(P55,3)/1000),
0),
IFERROR(IF(AND(FIND("TRFF",LEFT(P55,4)),ISNUMBER(_xlfn.NUMBERVALUE(RIGHT(P55,3)))),
(0*SUM(Q24:Q54)+SUM(AI24:AI54))*_xlfn.NUMBERVALUE(RIGHT(P55,3)/1000),
0),"")))</f>
        <v/>
      </c>
      <c r="S55" s="85"/>
      <c r="T55" s="114"/>
      <c r="U55" s="87"/>
      <c r="V55" s="115"/>
      <c r="W55" s="842" t="str">
        <f>IF(NOT(QUOTE_Split_SoftwareHardware),
IF(COUNTIF(TableQCalcMain[ShowDesc?],"&gt;0")&gt;64,IF(Francais,"DÉBORDEMENT, Certains items ne sont pas affichés et facturés","OVERFLOW, Some items are not shown and billed"),""),
IF(COUNTIF(TableQCalcMain[ShowHard],"&gt;0")&gt;31,IF(Francais,"DÉBORDEMENT, Certains items ne sont pas affichés et facturés","OVERFLOW, Some items are not shown and billed"),"")
)</f>
        <v/>
      </c>
      <c r="X55" s="842"/>
      <c r="Y55" s="842"/>
      <c r="Z55" s="842"/>
      <c r="AA55" s="842"/>
      <c r="AB55" s="842"/>
      <c r="AC55" s="842"/>
      <c r="AD55" s="842"/>
      <c r="AE55" s="842"/>
      <c r="AF55" s="844"/>
      <c r="AG55" s="845"/>
      <c r="AH55" s="178"/>
      <c r="AI55" s="179"/>
    </row>
    <row r="56" spans="1:35" ht="5.75" customHeight="1" x14ac:dyDescent="0.2">
      <c r="N56" s="47"/>
      <c r="O56" s="90"/>
      <c r="P56" s="91"/>
      <c r="Q56" s="92"/>
      <c r="S56" s="46"/>
      <c r="T56" s="46"/>
      <c r="U56" s="46"/>
      <c r="V56" s="46"/>
      <c r="W56" s="46"/>
      <c r="X56" s="46"/>
      <c r="Y56" s="46"/>
      <c r="Z56" s="46"/>
      <c r="AA56" s="46"/>
      <c r="AB56" s="46"/>
      <c r="AC56" s="46"/>
      <c r="AD56" s="46"/>
      <c r="AE56" s="46"/>
      <c r="AF56" s="47"/>
      <c r="AG56" s="90"/>
      <c r="AH56" s="91"/>
      <c r="AI56" s="92"/>
    </row>
    <row r="57" spans="1:35" x14ac:dyDescent="0.2">
      <c r="B57" s="847"/>
      <c r="C57" s="847"/>
      <c r="D57" s="847"/>
      <c r="E57" s="847"/>
      <c r="F57" s="847"/>
      <c r="G57" s="847"/>
      <c r="H57" s="847"/>
      <c r="I57" s="847"/>
      <c r="J57" s="847"/>
      <c r="K57" s="847"/>
      <c r="L57" s="847"/>
      <c r="M57" s="847"/>
      <c r="N57" s="47"/>
      <c r="O57" s="88" t="str">
        <f>IF(Francais,"Sous-total","Subtotal")</f>
        <v>Sous-total</v>
      </c>
      <c r="P57" s="58"/>
      <c r="Q57" s="93">
        <f>SUM(Q24:Q55)+IF(NOT(QUOTE_Split_SoftwareHardware),SUM(AI24:AI55),0)</f>
        <v>0</v>
      </c>
      <c r="S57" s="46"/>
      <c r="T57" s="510"/>
      <c r="U57" s="77"/>
      <c r="V57" s="77"/>
      <c r="W57" s="77"/>
      <c r="X57" s="78"/>
      <c r="Y57" s="79"/>
      <c r="Z57" s="79"/>
      <c r="AA57" s="79"/>
      <c r="AB57" s="79"/>
      <c r="AC57" s="79"/>
      <c r="AD57" s="79"/>
      <c r="AE57" s="79"/>
      <c r="AF57" s="47"/>
      <c r="AG57" s="88" t="str">
        <f>IF(Francais,"Sous-total","Subtotal")</f>
        <v>Sous-total</v>
      </c>
      <c r="AH57" s="58"/>
      <c r="AI57" s="93">
        <f>SUM(AI24:AI55)</f>
        <v>0</v>
      </c>
    </row>
    <row r="58" spans="1:35" x14ac:dyDescent="0.2">
      <c r="B58" s="507"/>
      <c r="C58" s="507"/>
      <c r="D58" s="508"/>
      <c r="E58" s="508"/>
      <c r="F58" s="508"/>
      <c r="G58" s="508"/>
      <c r="H58" s="508"/>
      <c r="I58" s="508"/>
      <c r="J58" s="508"/>
      <c r="K58" s="508"/>
      <c r="L58" s="503"/>
      <c r="M58" s="508"/>
      <c r="N58" s="503"/>
      <c r="O58" s="504" t="str">
        <f>IF(SHIP_Country_Index=99,
     IF(Francais,"Expédier au pays","Might not ship to"),
     IF(SHIP_CrossShipping,
"BillTo &amp; ShipTo",
IF(Francais,"Frais de port","Shipping")))</f>
        <v>Expédier au pays</v>
      </c>
      <c r="P58" s="505"/>
      <c r="Q58" s="726" t="str">
        <f>IF(AND(QUOTE_Split_SoftwareHardware,QUOTE_InternetDownload),
0,
IF(SHIP_Country_Index&gt;21,IF(Francais,"À déterminer","To be determined"),IF(P13="EXW","EXTRA",
IF(AND(QUOTE_Split_SoftwareHardware,NOT(QUOTE_InternetDownload)),SHIP_CostSoftware,
SHIP_CostTotal))))</f>
        <v>À déterminer</v>
      </c>
      <c r="S58" s="46"/>
      <c r="T58" s="507"/>
      <c r="U58" s="507"/>
      <c r="V58" s="508"/>
      <c r="W58" s="508"/>
      <c r="X58" s="508"/>
      <c r="Y58" s="508"/>
      <c r="Z58" s="508"/>
      <c r="AA58" s="508"/>
      <c r="AB58" s="508"/>
      <c r="AC58" s="508"/>
      <c r="AD58" s="503"/>
      <c r="AE58" s="508"/>
      <c r="AF58" s="47"/>
      <c r="AG58" s="88" t="str">
        <f>IF(Francais,"Frais de port","Shipping")</f>
        <v>Frais de port</v>
      </c>
      <c r="AH58" s="58"/>
      <c r="AI58" s="727">
        <f>IF(NOT(QUOTE_Split_SoftwareHardware),0,
IF(SHIP_Country_Index&gt;21,
IF(Francais,"À déterminer","To be determined"),IF(P13="EXW","EXTRA",
IF(QUOTE_InternetDownload,(1-RebateShipping_SplitAndInternet)*SHIP_CostTotal,
SHIP_CostTotal))))</f>
        <v>0</v>
      </c>
    </row>
    <row r="59" spans="1:35" x14ac:dyDescent="0.2">
      <c r="B59" s="508"/>
      <c r="C59" s="508"/>
      <c r="D59" s="508"/>
      <c r="E59" s="508"/>
      <c r="F59" s="508"/>
      <c r="G59" s="508"/>
      <c r="H59" s="508"/>
      <c r="I59" s="508"/>
      <c r="J59" s="508"/>
      <c r="K59" s="508"/>
      <c r="L59" s="503"/>
      <c r="M59" s="508"/>
      <c r="N59" s="47"/>
      <c r="O59" s="94" t="str">
        <f>IF(SHIP_Country_Index=99,IF(Francais,"choisi incertain.",
"selected country"),
IF(SHIP_CrossShipping,IF(Francais,"doivent être le","must be in the"),
IF(SHIP_Country_Index=1,
IF(Francais,"TPS","GST") &amp; IF(Q59&gt;0," (#130801764)"," N/A"),
""))
)</f>
        <v>choisi incertain.</v>
      </c>
      <c r="P59" s="62"/>
      <c r="Q59" s="95" t="str">
        <f>IF(SHIP_Country_Index=1,
(Q57+IF(ISNUMBER(Q58),Q58,0))*
IFERROR(INDEX(TableLists[Column6],MATCH(HOME_Province_Ship,TableLists[Column5],0)),0),
"")</f>
        <v/>
      </c>
      <c r="S59" s="46"/>
      <c r="T59" s="508"/>
      <c r="U59" s="508"/>
      <c r="V59" s="508"/>
      <c r="W59" s="508"/>
      <c r="X59" s="508"/>
      <c r="Y59" s="508"/>
      <c r="Z59" s="508"/>
      <c r="AA59" s="508"/>
      <c r="AB59" s="508"/>
      <c r="AC59" s="508"/>
      <c r="AD59" s="503"/>
      <c r="AE59" s="508"/>
      <c r="AF59" s="47"/>
      <c r="AG59" s="94" t="str">
        <f>IF(SHIP_Country_Index=1,
IF(AI59&gt;0,"GST (#130801764)","GST N/A"),
"")</f>
        <v/>
      </c>
      <c r="AH59" s="62"/>
      <c r="AI59" s="95" t="str">
        <f>IF(SHIP_Country_Index=1,
(AI57+IF(ISNUMBER(AI58),AI58,0))*
IFERROR(INDEX(TableLists[Column6],MATCH(HOME_Province_Ship,TableLists[Column5],0)),0),
"")</f>
        <v/>
      </c>
    </row>
    <row r="60" spans="1:35" ht="11" customHeight="1" x14ac:dyDescent="0.2">
      <c r="B60" s="508"/>
      <c r="C60" s="508"/>
      <c r="D60" s="508"/>
      <c r="E60" s="508"/>
      <c r="F60" s="508"/>
      <c r="G60" s="508"/>
      <c r="H60" s="508"/>
      <c r="I60" s="508"/>
      <c r="J60" s="508"/>
      <c r="K60" s="508"/>
      <c r="L60" s="503"/>
      <c r="M60" s="508"/>
      <c r="N60" s="47"/>
      <c r="O60" s="94" t="str">
        <f>IF(SHIP_Country_Index=99,IF(Francais,"Contactez-nous.","Contact us."),
IF(SHIP_CrossShipping,IF(Francais,"même pays.","same country."),
IF(SHIP_Country_Index=1,
IF(IFERROR(MATCH(HOME_Province,{"QC";"PQ"},0),0)&gt;0,IF(Francais,"TVQ","QST"),IF(Francais,"TVH","HST")) &amp; IF(Q60&gt;0," (#1011238609)"," N/A"),
"")))</f>
        <v>Contactez-nous.</v>
      </c>
      <c r="P60" s="62"/>
      <c r="Q60" s="95" t="str">
        <f>IF(SHIP_Country_Index=1,
(Q57+IF(ISNUMBER(Q58),Q58,0))*
IFERROR(INDEX(TableLists[Column7],MATCH(HOME_Province_Ship,TableLists[Column5],0)),0),
"")</f>
        <v/>
      </c>
      <c r="S60" s="46"/>
      <c r="T60" s="508"/>
      <c r="U60" s="508"/>
      <c r="V60" s="508"/>
      <c r="W60" s="508"/>
      <c r="X60" s="508"/>
      <c r="Y60" s="508"/>
      <c r="Z60" s="508"/>
      <c r="AA60" s="508"/>
      <c r="AB60" s="508"/>
      <c r="AC60" s="508"/>
      <c r="AD60" s="503"/>
      <c r="AE60" s="508"/>
      <c r="AF60" s="47"/>
      <c r="AG60" s="94" t="str">
        <f>IF(SHIP_Country_Index=1,
IF(IFERROR(MATCH(HOME_Province,{"QC";"PQ"},0),0)&gt;0,IF(Francais,"TVQ","QST"),IF(Francais,"TVH","HST")) &amp; IF(AI60&gt;0," (#1011238609)"," N/A"),
"")</f>
        <v/>
      </c>
      <c r="AH60" s="62"/>
      <c r="AI60" s="95" t="str">
        <f>IF(SHIP_Country_Index=1,
(AI57+IF(ISNUMBER(AI58),AI58,0))*
IFERROR(INDEX(TableLists[Column7],MATCH(HOME_Province_Ship,TableLists[Column5],0)),0),
"")</f>
        <v/>
      </c>
    </row>
    <row r="61" spans="1:35" x14ac:dyDescent="0.2">
      <c r="B61" s="502" t="str">
        <f>IF(Francais,"Informations pour Virement Bancaire","Bank Information for Wire Transfer")</f>
        <v>Informations pour Virement Bancaire</v>
      </c>
      <c r="C61" s="80"/>
      <c r="D61" s="79"/>
      <c r="E61" s="79"/>
      <c r="F61" s="79"/>
      <c r="G61" s="79"/>
      <c r="H61" s="79"/>
      <c r="I61" s="79"/>
      <c r="J61" s="79"/>
      <c r="K61" s="79"/>
      <c r="L61" s="79"/>
      <c r="M61" s="79"/>
      <c r="N61" s="47"/>
      <c r="O61" s="96" t="s">
        <v>18</v>
      </c>
      <c r="P61" s="59"/>
      <c r="Q61" s="97">
        <f>SUM(Q57:Q60)</f>
        <v>0</v>
      </c>
      <c r="S61" s="46"/>
      <c r="T61" s="502" t="str">
        <f>IF(Francais,"Informations pour Virement Bancaire","Bank Information for Wire Transfer")</f>
        <v>Informations pour Virement Bancaire</v>
      </c>
      <c r="U61" s="80"/>
      <c r="V61" s="79"/>
      <c r="W61" s="79"/>
      <c r="X61" s="79"/>
      <c r="Y61" s="79"/>
      <c r="Z61" s="79"/>
      <c r="AA61" s="79"/>
      <c r="AB61" s="79"/>
      <c r="AC61" s="79"/>
      <c r="AD61" s="79"/>
      <c r="AE61" s="79"/>
      <c r="AF61" s="47"/>
      <c r="AG61" s="96" t="s">
        <v>18</v>
      </c>
      <c r="AH61" s="59"/>
      <c r="AI61" s="97">
        <f>SUM(AI57:AI60)</f>
        <v>0</v>
      </c>
    </row>
    <row r="62" spans="1:35" x14ac:dyDescent="0.2">
      <c r="B62" s="112"/>
      <c r="C62" s="112"/>
      <c r="D62" s="112"/>
      <c r="E62" s="112"/>
      <c r="F62" s="112"/>
      <c r="G62" s="112"/>
      <c r="H62" s="112"/>
      <c r="I62" s="112"/>
      <c r="J62" s="112"/>
      <c r="K62" s="112"/>
      <c r="L62" s="112"/>
      <c r="N62" s="47"/>
      <c r="O62" s="85"/>
      <c r="P62" s="86"/>
      <c r="Q62" s="98"/>
      <c r="S62" s="46"/>
      <c r="T62" s="51"/>
      <c r="U62" s="51"/>
      <c r="V62" s="51"/>
      <c r="W62" s="51"/>
      <c r="X62" s="51"/>
      <c r="Y62" s="51"/>
      <c r="Z62" s="51"/>
      <c r="AA62" s="51"/>
      <c r="AB62" s="51"/>
      <c r="AC62" s="51"/>
      <c r="AD62" s="51"/>
      <c r="AE62" s="46"/>
      <c r="AF62" s="47"/>
      <c r="AG62" s="85"/>
      <c r="AH62" s="86"/>
      <c r="AI62" s="98"/>
    </row>
    <row r="63" spans="1:35" ht="15.5" customHeight="1" x14ac:dyDescent="0.2">
      <c r="B63" s="112"/>
      <c r="C63" s="112"/>
      <c r="D63" s="112"/>
      <c r="E63" s="112"/>
      <c r="F63" s="112"/>
      <c r="H63" s="112"/>
      <c r="I63" s="112"/>
      <c r="J63" s="112"/>
      <c r="K63" s="112"/>
      <c r="L63" s="112"/>
      <c r="M63" s="843" t="str">
        <f>IF(Francais,"Voir nos conditions de ventes (page suivante)","See Sales Terms &amp; Conditions next page")</f>
        <v>Voir nos conditions de ventes (page suivante)</v>
      </c>
      <c r="N63" s="843"/>
      <c r="O63" s="843"/>
      <c r="P63" s="843"/>
      <c r="Q63" s="843"/>
      <c r="S63" s="46"/>
      <c r="T63" s="51"/>
      <c r="U63" s="51"/>
      <c r="V63" s="51"/>
      <c r="W63" s="51"/>
      <c r="X63" s="51"/>
      <c r="Y63" s="51"/>
      <c r="Z63" s="51"/>
      <c r="AA63" s="51"/>
      <c r="AB63" s="51"/>
      <c r="AC63" s="51"/>
      <c r="AD63" s="51"/>
      <c r="AE63" s="843" t="str">
        <f>M63</f>
        <v>Voir nos conditions de ventes (page suivante)</v>
      </c>
      <c r="AF63" s="843"/>
      <c r="AG63" s="843"/>
      <c r="AH63" s="843"/>
      <c r="AI63" s="843"/>
    </row>
    <row r="64" spans="1:35" x14ac:dyDescent="0.2">
      <c r="B64" s="113"/>
      <c r="C64" s="113"/>
      <c r="D64" s="113"/>
      <c r="E64" s="113"/>
      <c r="F64" s="113"/>
      <c r="G64" s="113"/>
      <c r="H64" s="113"/>
      <c r="I64" s="113"/>
      <c r="M64" s="843"/>
      <c r="N64" s="843"/>
      <c r="O64" s="843"/>
      <c r="P64" s="843"/>
      <c r="Q64" s="843"/>
      <c r="S64" s="46"/>
      <c r="T64" s="49"/>
      <c r="U64" s="49"/>
      <c r="V64" s="49"/>
      <c r="W64" s="49"/>
      <c r="X64" s="49"/>
      <c r="Y64" s="49"/>
      <c r="Z64" s="49"/>
      <c r="AA64" s="49"/>
      <c r="AB64" s="46"/>
      <c r="AC64" s="46"/>
      <c r="AD64" s="46"/>
      <c r="AE64" s="843"/>
      <c r="AF64" s="843"/>
      <c r="AG64" s="843"/>
      <c r="AH64" s="843"/>
      <c r="AI64" s="843"/>
    </row>
    <row r="65" spans="1:36" x14ac:dyDescent="0.2">
      <c r="I65" s="236" t="str">
        <f>IF(Francais,"Préparée par","Issued by")</f>
        <v>Préparée par</v>
      </c>
      <c r="J65" s="13" t="s">
        <v>753</v>
      </c>
      <c r="M65" s="750" t="s">
        <v>778</v>
      </c>
      <c r="P65" s="234"/>
      <c r="Q65" s="71" t="str">
        <f>"Page 1 " &amp; IF(Francais,"de ","of ") &amp; IF(ROWS(Quote!$V$24:$V$54)&gt;COUNTBLANK(Quote!$V$24:$V$54),IF(NOT(QUOTE_Split_SoftwareHardware),2,1),1)</f>
        <v>Page 1 de 1</v>
      </c>
      <c r="S65" s="46"/>
      <c r="T65" s="46"/>
      <c r="U65" s="46"/>
      <c r="V65" s="46"/>
      <c r="W65" s="46"/>
      <c r="X65" s="46"/>
      <c r="Y65" s="46"/>
      <c r="Z65" s="46"/>
      <c r="AA65" s="236" t="str">
        <f>IF(Francais,"Préparée par","Issued by")</f>
        <v>Préparée par</v>
      </c>
      <c r="AB65" s="13" t="s">
        <v>753</v>
      </c>
      <c r="AC65" s="46"/>
      <c r="AD65" s="46"/>
      <c r="AE65" s="750" t="s">
        <v>778</v>
      </c>
      <c r="AF65" s="46"/>
      <c r="AG65" s="13"/>
      <c r="AH65" s="46"/>
      <c r="AI65" s="99" t="str">
        <f>SUBSTITUTE("Page 2 " &amp; IF(Francais,"de ","of ") &amp; "2","2",IF(NOT(QUOTE_Split_SoftwareHardware),"2","1"))</f>
        <v>Page 2 de 2</v>
      </c>
    </row>
    <row r="66" spans="1:36" ht="2.75" customHeight="1" x14ac:dyDescent="0.2">
      <c r="A66" s="86"/>
      <c r="B66" s="86"/>
      <c r="C66" s="86"/>
      <c r="D66" s="86"/>
      <c r="E66" s="86"/>
      <c r="F66" s="86"/>
      <c r="G66" s="86"/>
      <c r="H66" s="86"/>
      <c r="I66" s="86"/>
      <c r="J66" s="86"/>
      <c r="K66" s="86"/>
      <c r="L66" s="86"/>
      <c r="M66" s="86"/>
      <c r="N66" s="86"/>
      <c r="O66" s="86"/>
      <c r="P66" s="86"/>
      <c r="Q66" s="86"/>
      <c r="R66" s="46"/>
      <c r="S66" s="86"/>
      <c r="T66" s="86"/>
      <c r="U66" s="86"/>
      <c r="V66" s="86"/>
      <c r="W66" s="86"/>
      <c r="X66" s="86"/>
      <c r="Y66" s="86"/>
      <c r="Z66" s="86"/>
      <c r="AA66" s="86"/>
      <c r="AB66" s="86"/>
      <c r="AC66" s="86"/>
      <c r="AD66" s="86"/>
      <c r="AE66" s="86"/>
      <c r="AF66" s="86"/>
      <c r="AG66" s="86"/>
      <c r="AH66" s="86"/>
      <c r="AI66" s="86"/>
      <c r="AJ66" s="46"/>
    </row>
    <row r="67" spans="1:36" x14ac:dyDescent="0.2">
      <c r="B67" s="238" t="s">
        <v>796</v>
      </c>
      <c r="K67" s="235"/>
      <c r="P67" s="760" t="str">
        <f xml:space="preserve"> IF(QUOTE_Split_SoftwareHardware,IF(Francais,"Total pour les deux soumissions: ","Total for the two quotes: "),"")</f>
        <v/>
      </c>
      <c r="Q67" s="761" t="str">
        <f>TEXT(IF(QUOTE_Split_SoftwareHardware,SUM(Q61,AI61),""),"#,##0.00")</f>
        <v/>
      </c>
      <c r="S67" s="46"/>
      <c r="T67" s="46"/>
      <c r="U67" s="46"/>
      <c r="V67" s="46"/>
      <c r="W67" s="46"/>
      <c r="X67" s="46"/>
      <c r="Y67" s="46"/>
      <c r="Z67" s="46"/>
      <c r="AA67" s="46"/>
      <c r="AB67" s="46"/>
      <c r="AC67" s="46"/>
      <c r="AD67" s="46"/>
      <c r="AE67" s="46"/>
      <c r="AF67" s="46"/>
      <c r="AG67" s="46"/>
      <c r="AH67" s="46"/>
      <c r="AI67" s="46"/>
    </row>
    <row r="68" spans="1:36" x14ac:dyDescent="0.2">
      <c r="B68" s="238"/>
      <c r="K68" s="235"/>
      <c r="S68" s="46"/>
      <c r="T68" s="46"/>
      <c r="U68" s="46"/>
      <c r="V68" s="46"/>
      <c r="W68" s="46"/>
      <c r="X68" s="46"/>
      <c r="Y68" s="46"/>
      <c r="Z68" s="46"/>
      <c r="AA68" s="46"/>
      <c r="AB68" s="46"/>
      <c r="AC68" s="46"/>
      <c r="AD68" s="46"/>
      <c r="AE68" s="46"/>
      <c r="AF68" s="46"/>
      <c r="AG68" s="46"/>
      <c r="AH68" s="46"/>
      <c r="AI68" s="449"/>
    </row>
    <row r="69" spans="1:36" x14ac:dyDescent="0.2">
      <c r="B69" s="238"/>
      <c r="K69" s="235"/>
      <c r="S69" s="46"/>
      <c r="T69" s="46"/>
      <c r="U69" s="46"/>
      <c r="V69" s="46"/>
      <c r="W69" s="46"/>
      <c r="X69" s="46"/>
      <c r="Y69" s="46"/>
      <c r="Z69" s="46"/>
      <c r="AA69" s="46"/>
      <c r="AB69" s="46"/>
      <c r="AC69" s="46"/>
      <c r="AD69" s="46"/>
      <c r="AE69" s="46"/>
      <c r="AF69" s="46"/>
      <c r="AG69" s="46"/>
      <c r="AH69" s="46"/>
      <c r="AI69" s="46"/>
    </row>
    <row r="70" spans="1:36" x14ac:dyDescent="0.2">
      <c r="B70" s="238"/>
      <c r="K70" s="235"/>
      <c r="S70" s="46"/>
      <c r="T70" s="46"/>
      <c r="U70" s="46"/>
      <c r="V70" s="46"/>
      <c r="W70" s="46"/>
      <c r="X70" s="46"/>
      <c r="Y70" s="46"/>
      <c r="Z70" s="46"/>
      <c r="AA70" s="46"/>
      <c r="AB70" s="46"/>
      <c r="AC70" s="46"/>
      <c r="AD70" s="46"/>
      <c r="AE70" s="46"/>
      <c r="AF70" s="46"/>
      <c r="AG70" s="46"/>
      <c r="AH70" s="46"/>
      <c r="AI70" s="46"/>
    </row>
    <row r="71" spans="1:36" ht="15.75" customHeight="1" x14ac:dyDescent="0.2">
      <c r="S71" s="46"/>
      <c r="T71" s="46"/>
      <c r="U71" s="46"/>
      <c r="V71" s="46"/>
      <c r="W71" s="46"/>
      <c r="X71" s="46"/>
      <c r="Y71" s="46"/>
      <c r="Z71" s="46"/>
      <c r="AA71" s="46"/>
      <c r="AB71" s="46"/>
      <c r="AC71" s="46"/>
      <c r="AD71" s="46"/>
      <c r="AE71" s="46"/>
      <c r="AF71" s="46"/>
      <c r="AG71" s="46"/>
      <c r="AH71" s="46"/>
      <c r="AI71" s="46"/>
    </row>
    <row r="72" spans="1:36" ht="15.75" customHeight="1" x14ac:dyDescent="0.2"/>
    <row r="73" spans="1:36" ht="15.75" customHeight="1" x14ac:dyDescent="0.2"/>
    <row r="74" spans="1:36" ht="15.75" customHeight="1" x14ac:dyDescent="0.2"/>
    <row r="75" spans="1:36" ht="15.75" customHeight="1" x14ac:dyDescent="0.25">
      <c r="H75" s="335" t="str">
        <f>IF(Francais,"CONDITIONS GÉNÉRALES DE VENTE","SALES TERMS AND CONDITIONS")</f>
        <v>CONDITIONS GÉNÉRALES DE VENTE</v>
      </c>
      <c r="Q75"/>
    </row>
    <row r="76" spans="1:36" ht="15.75" customHeight="1" x14ac:dyDescent="0.2">
      <c r="Q76"/>
    </row>
    <row r="77" spans="1:36" ht="15.75" customHeight="1" x14ac:dyDescent="0.2">
      <c r="B77" s="846" t="str">
        <f>IF(Francais,"Le même prix pour le monde entier* est possible en acceptant les conditions générales de vente ci-dessous.",
"Same price worldwide* is made possible by accepting our sales terms &amp; conditions below.")</f>
        <v>Le même prix pour le monde entier* est possible en acceptant les conditions générales de vente ci-dessous.</v>
      </c>
      <c r="C77" s="846"/>
      <c r="D77" s="846"/>
      <c r="E77" s="846"/>
      <c r="F77" s="846"/>
      <c r="G77" s="846"/>
      <c r="H77" s="846"/>
      <c r="I77" s="846"/>
      <c r="J77" s="846"/>
      <c r="K77" s="846"/>
      <c r="L77" s="846"/>
      <c r="M77" s="846"/>
      <c r="N77" s="846"/>
      <c r="O77" s="846"/>
      <c r="P77" s="846"/>
      <c r="Q77" s="846"/>
      <c r="R77" s="8"/>
    </row>
    <row r="78" spans="1:36" ht="15.75" customHeight="1" x14ac:dyDescent="0.2">
      <c r="B78" s="846"/>
      <c r="C78" s="846"/>
      <c r="D78" s="846"/>
      <c r="E78" s="846"/>
      <c r="F78" s="846"/>
      <c r="G78" s="846"/>
      <c r="H78" s="846"/>
      <c r="I78" s="846"/>
      <c r="J78" s="846"/>
      <c r="K78" s="846"/>
      <c r="L78" s="846"/>
      <c r="M78" s="846"/>
      <c r="N78" s="846"/>
      <c r="O78" s="846"/>
      <c r="P78" s="846"/>
      <c r="Q78" s="846"/>
      <c r="R78" s="8"/>
    </row>
    <row r="79" spans="1:36" ht="15.75" customHeight="1" x14ac:dyDescent="0.2">
      <c r="B79" s="846"/>
      <c r="C79" s="846"/>
      <c r="D79" s="846"/>
      <c r="E79" s="846"/>
      <c r="F79" s="846"/>
      <c r="G79" s="846"/>
      <c r="H79" s="846"/>
      <c r="I79" s="846"/>
      <c r="J79" s="846"/>
      <c r="K79" s="846"/>
      <c r="L79" s="846"/>
      <c r="M79" s="846"/>
      <c r="N79" s="846"/>
      <c r="O79" s="846"/>
      <c r="P79" s="846"/>
      <c r="Q79" s="846"/>
      <c r="R79" s="8"/>
    </row>
    <row r="80" spans="1:36" ht="15.75" customHeight="1" x14ac:dyDescent="0.2"/>
    <row r="81" spans="3:18" ht="15.75" customHeight="1" x14ac:dyDescent="0.2">
      <c r="C81" s="337" t="str">
        <f>IF(Francais,
"Si vous achetez de Regent Instruments, vous acceptez ce qui suit: ",
"If you purchase from Regent Instruments, you agree to the following: "
)</f>
        <v xml:space="preserve">Si vous achetez de Regent Instruments, vous acceptez ce qui suit: </v>
      </c>
    </row>
    <row r="82" spans="3:18" ht="15.75" customHeight="1" x14ac:dyDescent="0.25">
      <c r="C82" s="336" t="s">
        <v>156</v>
      </c>
      <c r="D82" s="817" t="str">
        <f>IF(Francais,"Toutes les ventes sont finales et non remboursables. Le vendeur prend le temps de répondre aux questions de l'acheteur et de vérifier que ses produits répondent aux besoins de l'acheteur avant la vente.",
"All sales are final, non refundable. Seller takes the time to answer purchaser's questions and to verify that its products fulfill purchaser's needs prior to selling."
)</f>
        <v>Toutes les ventes sont finales et non remboursables. Le vendeur prend le temps de répondre aux questions de l'acheteur et de vérifier que ses produits répondent aux besoins de l'acheteur avant la vente.</v>
      </c>
      <c r="E82" s="817"/>
      <c r="F82" s="817"/>
      <c r="G82" s="817"/>
      <c r="H82" s="817"/>
      <c r="I82" s="817"/>
      <c r="J82" s="817"/>
      <c r="K82" s="817"/>
      <c r="L82" s="817"/>
      <c r="M82" s="817"/>
      <c r="N82" s="817"/>
      <c r="O82" s="817"/>
      <c r="P82" s="817"/>
      <c r="Q82" s="817"/>
      <c r="R82" s="817"/>
    </row>
    <row r="83" spans="3:18" ht="15.75" customHeight="1" x14ac:dyDescent="0.2">
      <c r="D83" s="817"/>
      <c r="E83" s="817"/>
      <c r="F83" s="817"/>
      <c r="G83" s="817"/>
      <c r="H83" s="817"/>
      <c r="I83" s="817"/>
      <c r="J83" s="817"/>
      <c r="K83" s="817"/>
      <c r="L83" s="817"/>
      <c r="M83" s="817"/>
      <c r="N83" s="817"/>
      <c r="O83" s="817"/>
      <c r="P83" s="817"/>
      <c r="Q83" s="817"/>
      <c r="R83" s="817"/>
    </row>
    <row r="84" spans="3:18" ht="15.75" customHeight="1" x14ac:dyDescent="0.25">
      <c r="C84" s="336" t="s">
        <v>156</v>
      </c>
      <c r="D84" s="817" t="str">
        <f>IF(Francais,"L'acheteur paie les frais d'expédition et extras (frais de douane et de dédouanement, taxes locales...) non facturés par le vendeur, même à des fins de garantie. " &amp; "Il n'y a pas de taxes ou de frais canadiens sur les produits exportés.",
"Buyer pays for shipping and extra fees (customs and clearance fees, his local taxes...) not charged by seller, even for warranty purposes. There are no Canadian taxes or fees on exported goods.")</f>
        <v>L'acheteur paie les frais d'expédition et extras (frais de douane et de dédouanement, taxes locales...) non facturés par le vendeur, même à des fins de garantie. Il n'y a pas de taxes ou de frais canadiens sur les produits exportés.</v>
      </c>
      <c r="E84" s="817"/>
      <c r="F84" s="817"/>
      <c r="G84" s="817"/>
      <c r="H84" s="817"/>
      <c r="I84" s="817"/>
      <c r="J84" s="817"/>
      <c r="K84" s="817"/>
      <c r="L84" s="817"/>
      <c r="M84" s="817"/>
      <c r="N84" s="817"/>
      <c r="O84" s="817"/>
      <c r="P84" s="817"/>
      <c r="Q84" s="817"/>
      <c r="R84" s="817"/>
    </row>
    <row r="85" spans="3:18" ht="15.75" customHeight="1" x14ac:dyDescent="0.2">
      <c r="D85" s="817"/>
      <c r="E85" s="817"/>
      <c r="F85" s="817"/>
      <c r="G85" s="817"/>
      <c r="H85" s="817"/>
      <c r="I85" s="817"/>
      <c r="J85" s="817"/>
      <c r="K85" s="817"/>
      <c r="L85" s="817"/>
      <c r="M85" s="817"/>
      <c r="N85" s="817"/>
      <c r="O85" s="817"/>
      <c r="P85" s="817"/>
      <c r="Q85" s="817"/>
      <c r="R85" s="817"/>
    </row>
    <row r="86" spans="3:18" ht="15.75" customHeight="1" x14ac:dyDescent="0.25">
      <c r="C86" s="336" t="s">
        <v>156</v>
      </c>
      <c r="D86" s="817" t="str">
        <f>IF(Francais,"Les lois applicables sont celles de l'emplacement du vendeur (Canada, province de Québec) où tout le travail est effectué par les employés de Regent Instruments. " &amp; "Aucun travail n'est effectué dans les locaux ou pays de l'acheteur (par exemple, installation, formation, vente...) et le vendeur n'a pas d'employé, de bureau ou d'entreprise sur place.",
"Applicable laws are those of seller's location (Canada, Quebec Province) where all work is done by Regent Instruments' employees. "&amp;"No work is done on buyer's premises or country (e.g. installation, training, selling...) and seller has no employee, office or company there.")</f>
        <v>Les lois applicables sont celles de l'emplacement du vendeur (Canada, province de Québec) où tout le travail est effectué par les employés de Regent Instruments. Aucun travail n'est effectué dans les locaux ou pays de l'acheteur (par exemple, installation, formation, vente...) et le vendeur n'a pas d'employé, de bureau ou d'entreprise sur place.</v>
      </c>
      <c r="E86" s="817"/>
      <c r="F86" s="817"/>
      <c r="G86" s="817"/>
      <c r="H86" s="817"/>
      <c r="I86" s="817"/>
      <c r="J86" s="817"/>
      <c r="K86" s="817"/>
      <c r="L86" s="817"/>
      <c r="M86" s="817"/>
      <c r="N86" s="817"/>
      <c r="O86" s="817"/>
      <c r="P86" s="817"/>
      <c r="Q86" s="817"/>
      <c r="R86" s="817"/>
    </row>
    <row r="87" spans="3:18" ht="15.75" customHeight="1" x14ac:dyDescent="0.2">
      <c r="D87" s="817"/>
      <c r="E87" s="817"/>
      <c r="F87" s="817"/>
      <c r="G87" s="817"/>
      <c r="H87" s="817"/>
      <c r="I87" s="817"/>
      <c r="J87" s="817"/>
      <c r="K87" s="817"/>
      <c r="L87" s="817"/>
      <c r="M87" s="817"/>
      <c r="N87" s="817"/>
      <c r="O87" s="817"/>
      <c r="P87" s="817"/>
      <c r="Q87" s="817"/>
      <c r="R87" s="817"/>
    </row>
    <row r="88" spans="3:18" ht="15.75" customHeight="1" x14ac:dyDescent="0.2">
      <c r="D88" s="817"/>
      <c r="E88" s="817"/>
      <c r="F88" s="817"/>
      <c r="G88" s="817"/>
      <c r="H88" s="817"/>
      <c r="I88" s="817"/>
      <c r="J88" s="817"/>
      <c r="K88" s="817"/>
      <c r="L88" s="817"/>
      <c r="M88" s="817"/>
      <c r="N88" s="817"/>
      <c r="O88" s="817"/>
      <c r="P88" s="817"/>
      <c r="Q88" s="817"/>
      <c r="R88" s="817"/>
    </row>
    <row r="89" spans="3:18" ht="15.75" customHeight="1" x14ac:dyDescent="0.25">
      <c r="C89" s="336" t="s">
        <v>156</v>
      </c>
      <c r="D89" s="817" t="str">
        <f>IF(Francais,"Le vendeur ne modifie pas son contrat de licence de logiciel.","Seller does not modify his software licence agreement.")</f>
        <v>Le vendeur ne modifie pas son contrat de licence de logiciel.</v>
      </c>
      <c r="E89" s="817"/>
      <c r="F89" s="817"/>
      <c r="G89" s="817"/>
      <c r="H89" s="817"/>
      <c r="I89" s="817"/>
      <c r="J89" s="817"/>
      <c r="K89" s="817"/>
      <c r="L89" s="817"/>
      <c r="M89" s="817"/>
      <c r="N89" s="817"/>
      <c r="O89" s="817"/>
      <c r="P89" s="817"/>
      <c r="Q89" s="817"/>
      <c r="R89" s="817"/>
    </row>
    <row r="90" spans="3:18" ht="15.75" customHeight="1" x14ac:dyDescent="0.25">
      <c r="C90" s="336" t="s">
        <v>156</v>
      </c>
      <c r="D90" s="817" t="str">
        <f>IF(Francais,"Tout l'équipement fabriqué par Regent Instruments a été inspecté, testé et emballé avec soin. " &amp; "Il est garanti, pièces et main d'oeuvre, pour 12 mois (sauf les plats garantis 30 jours) à compter de la date d'expédition contre les défauts de fabrication à partir du point de vente. " &amp; "Cette garantie ne couvre pas l'usure, la négligence, la mauvaise utilisation, les accidents, la détérioration excessive ou les dommages causés par des réparations non autorisées.",
"All equipment manufactured by Regent Instruments has been inspected, tested and carefully packed. " &amp; "It is guaranteed, parts and labor, for 12 months (except for trays which is 30 days) from the date of shipment against manufacturing defects from the point of sale. " &amp; "This guarantee does not cover wear and tear, neglect, misuse, accidents, excessive deterioration or damage caused by unauthorized repair.")
&amp; IF(Francais,
" Contact pour garantie, RMA ou problèmes de réparation:",
" Contact for warranty, RMA or repair issues:"
) &amp; " sales@regentinstruments.com"</f>
        <v>Tout l'équipement fabriqué par Regent Instruments a été inspecté, testé et emballé avec soin. Il est garanti, pièces et main d'oeuvre, pour 12 mois (sauf les plats garantis 30 jours) à compter de la date d'expédition contre les défauts de fabrication à partir du point de vente. Cette garantie ne couvre pas l'usure, la négligence, la mauvaise utilisation, les accidents, la détérioration excessive ou les dommages causés par des réparations non autorisées. Contact pour garantie, RMA ou problèmes de réparation: sales@regentinstruments.com</v>
      </c>
      <c r="E90" s="817"/>
      <c r="F90" s="817"/>
      <c r="G90" s="817"/>
      <c r="H90" s="817"/>
      <c r="I90" s="817"/>
      <c r="J90" s="817"/>
      <c r="K90" s="817"/>
      <c r="L90" s="817"/>
      <c r="M90" s="817"/>
      <c r="N90" s="817"/>
      <c r="O90" s="817"/>
      <c r="P90" s="817"/>
      <c r="Q90" s="817"/>
      <c r="R90" s="817"/>
    </row>
    <row r="91" spans="3:18" ht="15.75" customHeight="1" x14ac:dyDescent="0.2">
      <c r="D91" s="817"/>
      <c r="E91" s="817"/>
      <c r="F91" s="817"/>
      <c r="G91" s="817"/>
      <c r="H91" s="817"/>
      <c r="I91" s="817"/>
      <c r="J91" s="817"/>
      <c r="K91" s="817"/>
      <c r="L91" s="817"/>
      <c r="M91" s="817"/>
      <c r="N91" s="817"/>
      <c r="O91" s="817"/>
      <c r="P91" s="817"/>
      <c r="Q91" s="817"/>
      <c r="R91" s="817"/>
    </row>
    <row r="92" spans="3:18" ht="15.75" customHeight="1" x14ac:dyDescent="0.2">
      <c r="D92" s="817"/>
      <c r="E92" s="817"/>
      <c r="F92" s="817"/>
      <c r="G92" s="817"/>
      <c r="H92" s="817"/>
      <c r="I92" s="817"/>
      <c r="J92" s="817"/>
      <c r="K92" s="817"/>
      <c r="L92" s="817"/>
      <c r="M92" s="817"/>
      <c r="N92" s="817"/>
      <c r="O92" s="817"/>
      <c r="P92" s="817"/>
      <c r="Q92" s="817"/>
      <c r="R92" s="817"/>
    </row>
    <row r="93" spans="3:18" ht="15.75" customHeight="1" x14ac:dyDescent="0.2">
      <c r="D93" s="817"/>
      <c r="E93" s="817"/>
      <c r="F93" s="817"/>
      <c r="G93" s="817"/>
      <c r="H93" s="817"/>
      <c r="I93" s="817"/>
      <c r="J93" s="817"/>
      <c r="K93" s="817"/>
      <c r="L93" s="817"/>
      <c r="M93" s="817"/>
      <c r="N93" s="817"/>
      <c r="O93" s="817"/>
      <c r="P93" s="817"/>
      <c r="Q93" s="817"/>
      <c r="R93" s="817"/>
    </row>
    <row r="94" spans="3:18" ht="15.75" customHeight="1" x14ac:dyDescent="0.2">
      <c r="D94" s="817"/>
      <c r="E94" s="817"/>
      <c r="F94" s="817"/>
      <c r="G94" s="817"/>
      <c r="H94" s="817"/>
      <c r="I94" s="817"/>
      <c r="J94" s="817"/>
      <c r="K94" s="817"/>
      <c r="L94" s="817"/>
      <c r="M94" s="817"/>
      <c r="N94" s="817"/>
      <c r="O94" s="817"/>
      <c r="P94" s="817"/>
      <c r="Q94" s="817"/>
      <c r="R94" s="817"/>
    </row>
    <row r="95" spans="3:18" ht="15.75" customHeight="1" x14ac:dyDescent="0.25">
      <c r="C95" s="336" t="s">
        <v>156</v>
      </c>
      <c r="D95" s="817" t="str">
        <f>IF(Francais,"PAS PAYÉ, PAS EXPÉDIÉ. Toutes les commandes internationales (hors Canada) doivent être prépayées (même prix pour les cartes de crédit ou les virements bancaires)." &amp; "Les prix indiqués ne sont PAS valables pour les clients qui nécessitent la lecture, l'approbation ou la négociation " &amp; "de contrats d'achat complexes ou de conditions générales de vente. Compte tenu de la charge de travail que représente ce processus, le vendeur ne l'effectuera que pour les ventes de 100 000$ ou plus.",
"NO PAYMENT, NO SHIPMENT. All international orders (outside Canada) must be pre-paid (same price for credit cards or wire transfer). Quoted prices are NOT valid for customers who require the reading, approving or negotiating " &amp; "of complex purchasing contracts or terms and conditions. Given the work involved in going through this process, the seller will do it only for sales of 100 000$ or more."
)</f>
        <v>PAS PAYÉ, PAS EXPÉDIÉ. Toutes les commandes internationales (hors Canada) doivent être prépayées (même prix pour les cartes de crédit ou les virements bancaires).Les prix indiqués ne sont PAS valables pour les clients qui nécessitent la lecture, l'approbation ou la négociation de contrats d'achat complexes ou de conditions générales de vente. Compte tenu de la charge de travail que représente ce processus, le vendeur ne l'effectuera que pour les ventes de 100 000$ ou plus.</v>
      </c>
      <c r="E95" s="817"/>
      <c r="F95" s="817"/>
      <c r="G95" s="817"/>
      <c r="H95" s="817"/>
      <c r="I95" s="817"/>
      <c r="J95" s="817"/>
      <c r="K95" s="817"/>
      <c r="L95" s="817"/>
      <c r="M95" s="817"/>
      <c r="N95" s="817"/>
      <c r="O95" s="817"/>
      <c r="P95" s="817"/>
      <c r="Q95" s="817"/>
      <c r="R95" s="817"/>
    </row>
    <row r="96" spans="3:18" ht="15.75" customHeight="1" x14ac:dyDescent="0.2">
      <c r="D96" s="817"/>
      <c r="E96" s="817"/>
      <c r="F96" s="817"/>
      <c r="G96" s="817"/>
      <c r="H96" s="817"/>
      <c r="I96" s="817"/>
      <c r="J96" s="817"/>
      <c r="K96" s="817"/>
      <c r="L96" s="817"/>
      <c r="M96" s="817"/>
      <c r="N96" s="817"/>
      <c r="O96" s="817"/>
      <c r="P96" s="817"/>
      <c r="Q96" s="817"/>
      <c r="R96" s="817"/>
    </row>
    <row r="97" spans="2:18" ht="15.75" customHeight="1" x14ac:dyDescent="0.2">
      <c r="D97" s="817"/>
      <c r="E97" s="817"/>
      <c r="F97" s="817"/>
      <c r="G97" s="817"/>
      <c r="H97" s="817"/>
      <c r="I97" s="817"/>
      <c r="J97" s="817"/>
      <c r="K97" s="817"/>
      <c r="L97" s="817"/>
      <c r="M97" s="817"/>
      <c r="N97" s="817"/>
      <c r="O97" s="817"/>
      <c r="P97" s="817"/>
      <c r="Q97" s="817"/>
      <c r="R97" s="817"/>
    </row>
    <row r="98" spans="2:18" ht="15.75" customHeight="1" x14ac:dyDescent="0.2">
      <c r="D98" s="817"/>
      <c r="E98" s="817"/>
      <c r="F98" s="817"/>
      <c r="G98" s="817"/>
      <c r="H98" s="817"/>
      <c r="I98" s="817"/>
      <c r="J98" s="817"/>
      <c r="K98" s="817"/>
      <c r="L98" s="817"/>
      <c r="M98" s="817"/>
      <c r="N98" s="817"/>
      <c r="O98" s="817"/>
      <c r="P98" s="817"/>
      <c r="Q98" s="817"/>
      <c r="R98" s="817"/>
    </row>
    <row r="99" spans="2:18" ht="15.75" customHeight="1" x14ac:dyDescent="0.25">
      <c r="C99" s="336" t="s">
        <v>156</v>
      </c>
      <c r="D99" s="817" t="str">
        <f>IF(Francais,"Le vendeur ne s'enregistre pas comme vendeur pour les ventes sous 100 000$. "&amp;"Toutes l'information nécessaires pour un virement bancaire est sur nos devis et factures et le paiement par carte de crédit est une alternative efficace et facile.","Seller does not register as a vendor for sales below 100 000$. All information required to make wire transfer are on our Quotes and Invoices and credit card payment is an efficient and easy alternative.")</f>
        <v>Le vendeur ne s'enregistre pas comme vendeur pour les ventes sous 100 000$. Toutes l'information nécessaires pour un virement bancaire est sur nos devis et factures et le paiement par carte de crédit est une alternative efficace et facile.</v>
      </c>
      <c r="E99" s="817"/>
      <c r="F99" s="817"/>
      <c r="G99" s="817"/>
      <c r="H99" s="817"/>
      <c r="I99" s="817"/>
      <c r="J99" s="817"/>
      <c r="K99" s="817"/>
      <c r="L99" s="817"/>
      <c r="M99" s="817"/>
      <c r="N99" s="817"/>
      <c r="O99" s="817"/>
      <c r="P99" s="817"/>
      <c r="Q99" s="817"/>
      <c r="R99" s="817"/>
    </row>
    <row r="100" spans="2:18" ht="15.75" customHeight="1" x14ac:dyDescent="0.2">
      <c r="D100" s="817"/>
      <c r="E100" s="817"/>
      <c r="F100" s="817"/>
      <c r="G100" s="817"/>
      <c r="H100" s="817"/>
      <c r="I100" s="817"/>
      <c r="J100" s="817"/>
      <c r="K100" s="817"/>
      <c r="L100" s="817"/>
      <c r="M100" s="817"/>
      <c r="N100" s="817"/>
      <c r="O100" s="817"/>
      <c r="P100" s="817"/>
      <c r="Q100" s="817"/>
      <c r="R100" s="817"/>
    </row>
    <row r="101" spans="2:18" ht="15.75" customHeight="1" x14ac:dyDescent="0.25">
      <c r="C101" s="336" t="s">
        <v>156</v>
      </c>
      <c r="D101" s="818" t="str">
        <f>IF(Francais,"Les termes et conditions du vendeur prévalent en cas de conflit avec ceux de l'acheteur.",
"Seller's terms and conditions prevail in case of conflicts with buyer's.")</f>
        <v>Les termes et conditions du vendeur prévalent en cas de conflit avec ceux de l'acheteur.</v>
      </c>
      <c r="E101" s="818"/>
      <c r="F101" s="818"/>
      <c r="G101" s="818"/>
      <c r="H101" s="818"/>
      <c r="I101" s="818"/>
      <c r="J101" s="818"/>
      <c r="K101" s="818"/>
      <c r="L101" s="818"/>
      <c r="M101" s="818"/>
      <c r="N101" s="818"/>
      <c r="O101" s="818"/>
      <c r="P101" s="818"/>
      <c r="Q101" s="818"/>
      <c r="R101" s="818"/>
    </row>
    <row r="102" spans="2:18" ht="15.75" customHeight="1" x14ac:dyDescent="0.2">
      <c r="R102" s="46"/>
    </row>
    <row r="103" spans="2:18" ht="15.75" customHeight="1" x14ac:dyDescent="0.2">
      <c r="C103" s="562" t="str">
        <f>IF(NOT(QUOTE_DistDisableSameClient),"*Note 1:","*Note:")</f>
        <v>*Note 1:</v>
      </c>
      <c r="D103" s="816" t="str">
        <f>IF(Francais, "Nous n'avons qu'une seule liste de prix, disponible en 3 devises ($Can, USD et €) pour les clients du monde entier. " &amp;
"Notez qu'il y a des pays où nous ne pouvons pas expédier en raison des exigences des autorités locales (p.ex.  Certificat d'Origine, documents authentifiés...) ou des restrictions canadiennes à l'exportation. En cas de doute, contactez-nous. " &amp; "
Si vous achetez auprès d'un distributeur, le prix peut être plus élevé pour tenir compte du travail supplémentaire à fournir, p. ex :",
"We only have one price list, available in 3 currencies ($Can, USD and €) for worldwide customers. " &amp; "Note that there are countries we cannot ship to due to local authorities requirements (e.g. Certificate of Origin, authenticated documents...) or Canadian exports restrictions. If unsure, contact us. " &amp; "
If you buy from a distributor, the price might be higher to account for extra work they might provide such as:")</f>
        <v>Nous n'avons qu'une seule liste de prix, disponible en 3 devises ($Can, USD et €) pour les clients du monde entier. Notez qu'il y a des pays où nous ne pouvons pas expédier en raison des exigences des autorités locales (p.ex.  Certificat d'Origine, documents authentifiés...) ou des restrictions canadiennes à l'exportation. En cas de doute, contactez-nous. 
Si vous achetez auprès d'un distributeur, le prix peut être plus élevé pour tenir compte du travail supplémentaire à fournir, p. ex :</v>
      </c>
      <c r="E103" s="816"/>
      <c r="F103" s="816"/>
      <c r="G103" s="816"/>
      <c r="H103" s="816"/>
      <c r="I103" s="816"/>
      <c r="J103" s="816"/>
      <c r="K103" s="816"/>
      <c r="L103" s="816"/>
      <c r="M103" s="816"/>
      <c r="N103" s="816"/>
      <c r="O103" s="816"/>
      <c r="P103" s="816"/>
      <c r="Q103" s="816"/>
      <c r="R103" s="816"/>
    </row>
    <row r="104" spans="2:18" ht="15.75" customHeight="1" x14ac:dyDescent="0.2">
      <c r="B104"/>
      <c r="D104" s="816"/>
      <c r="E104" s="816"/>
      <c r="F104" s="816"/>
      <c r="G104" s="816"/>
      <c r="H104" s="816"/>
      <c r="I104" s="816"/>
      <c r="J104" s="816"/>
      <c r="K104" s="816"/>
      <c r="L104" s="816"/>
      <c r="M104" s="816"/>
      <c r="N104" s="816"/>
      <c r="O104" s="816"/>
      <c r="P104" s="816"/>
      <c r="Q104" s="816"/>
      <c r="R104" s="816"/>
    </row>
    <row r="105" spans="2:18" ht="15.75" customHeight="1" x14ac:dyDescent="0.2">
      <c r="D105" s="816"/>
      <c r="E105" s="816"/>
      <c r="F105" s="816"/>
      <c r="G105" s="816"/>
      <c r="H105" s="816"/>
      <c r="I105" s="816"/>
      <c r="J105" s="816"/>
      <c r="K105" s="816"/>
      <c r="L105" s="816"/>
      <c r="M105" s="816"/>
      <c r="N105" s="816"/>
      <c r="O105" s="816"/>
      <c r="P105" s="816"/>
      <c r="Q105" s="816"/>
      <c r="R105" s="816"/>
    </row>
    <row r="106" spans="2:18" ht="15.75" customHeight="1" x14ac:dyDescent="0.2">
      <c r="D106" s="816"/>
      <c r="E106" s="816"/>
      <c r="F106" s="816"/>
      <c r="G106" s="816"/>
      <c r="H106" s="816"/>
      <c r="I106" s="816"/>
      <c r="J106" s="816"/>
      <c r="K106" s="816"/>
      <c r="L106" s="816"/>
      <c r="M106" s="816"/>
      <c r="N106" s="816"/>
      <c r="O106" s="816"/>
      <c r="P106" s="816"/>
      <c r="Q106" s="816"/>
      <c r="R106" s="816"/>
    </row>
    <row r="107" spans="2:18" ht="15.75" customHeight="1" x14ac:dyDescent="0.2">
      <c r="D107" s="819" t="str">
        <f>IF(Francais," • Financement pour les clients qui paient après la livraison.
 • Production des documents d'importation (certificats, 
     dédouanement...).
 • Paiement des frais de douane et de dédouanement d'importation." &amp; "
 • S'inscrire en tant que vendeur dans le système d'achat des clients."," • Financing for customers that pay after delivery.
 • Producing import documents (certificates, customs clearance...).
 • Paying customs fees and import clearance fees." &amp; "
 • Register as a seller on the customer purchasing system.")</f>
        <v xml:space="preserve"> • Financement pour les clients qui paient après la livraison.
 • Production des documents d'importation (certificats, 
     dédouanement...).
 • Paiement des frais de douane et de dédouanement d'importation.
 • S'inscrire en tant que vendeur dans le système d'achat des clients.</v>
      </c>
      <c r="E107" s="819"/>
      <c r="F107" s="819"/>
      <c r="G107" s="819"/>
      <c r="H107" s="819"/>
      <c r="I107" s="819"/>
      <c r="J107" s="819"/>
      <c r="K107" s="819"/>
      <c r="L107" s="819" t="str">
        <f>IF(Francais," • Signer des contrats légaux et respecter les lois locales.
 • Soumission d'offres.
 • Traduction de documents (avant ou après la vente).
 • Effectuer l'installation et/ou entraînement sur place.
 • Payer les taxes locales (TVA...)."," • Sign legal contracts and follow local laws.
 • Bidding.
 • Translation of documents (pre or post sale).
 • Do on-site installation and/or training.
 • Pay local taxes (VAT...).")</f>
        <v xml:space="preserve"> • Signer des contrats légaux et respecter les lois locales.
 • Soumission d'offres.
 • Traduction de documents (avant ou après la vente).
 • Effectuer l'installation et/ou entraînement sur place.
 • Payer les taxes locales (TVA...).</v>
      </c>
      <c r="M107" s="819"/>
      <c r="N107" s="819"/>
      <c r="O107" s="819"/>
      <c r="P107" s="819"/>
      <c r="Q107" s="819"/>
      <c r="R107" s="819"/>
    </row>
    <row r="108" spans="2:18" ht="15.75" customHeight="1" x14ac:dyDescent="0.2">
      <c r="D108" s="819"/>
      <c r="E108" s="819"/>
      <c r="F108" s="819"/>
      <c r="G108" s="819"/>
      <c r="H108" s="819"/>
      <c r="I108" s="819"/>
      <c r="J108" s="819"/>
      <c r="K108" s="819"/>
      <c r="L108" s="819"/>
      <c r="M108" s="819"/>
      <c r="N108" s="819"/>
      <c r="O108" s="819"/>
      <c r="P108" s="819"/>
      <c r="Q108" s="819"/>
      <c r="R108" s="819"/>
    </row>
    <row r="109" spans="2:18" ht="15.75" customHeight="1" x14ac:dyDescent="0.2">
      <c r="D109" s="819"/>
      <c r="E109" s="819"/>
      <c r="F109" s="819"/>
      <c r="G109" s="819"/>
      <c r="H109" s="819"/>
      <c r="I109" s="819"/>
      <c r="J109" s="819"/>
      <c r="K109" s="819"/>
      <c r="L109" s="819"/>
      <c r="M109" s="819"/>
      <c r="N109" s="819"/>
      <c r="O109" s="819"/>
      <c r="P109" s="819"/>
      <c r="Q109" s="819"/>
      <c r="R109" s="819"/>
    </row>
    <row r="110" spans="2:18" ht="15.75" customHeight="1" x14ac:dyDescent="0.2">
      <c r="D110" s="819"/>
      <c r="E110" s="819"/>
      <c r="F110" s="819"/>
      <c r="G110" s="819"/>
      <c r="H110" s="819"/>
      <c r="I110" s="819"/>
      <c r="J110" s="819"/>
      <c r="K110" s="819"/>
      <c r="L110" s="819"/>
      <c r="M110" s="819"/>
      <c r="N110" s="819"/>
      <c r="O110" s="819"/>
      <c r="P110" s="819"/>
      <c r="Q110" s="819"/>
      <c r="R110" s="819"/>
    </row>
    <row r="111" spans="2:18" ht="15.75" customHeight="1" x14ac:dyDescent="0.2">
      <c r="C111" s="562" t="str">
        <f>IF(NOT(QUOTE_DistDisableSameClient),"Note 2:","")</f>
        <v>Note 2:</v>
      </c>
      <c r="D111" s="816" t="str">
        <f>IF(NOT(QUOTE_DistDisableSameClient),
IF(Francais,"Notre liste de prix permet de diviser une commande en deux commandes différentes, chacune avec son propre numéro de facture, afin que les prix soient plus bas (ce qui peut simplifier la procédure d'achat en dessous d'un certain montant). "  &amp; "Une facture contient les logiciels (qui peuvent être " &amp; IF(NOT(QUOTE_DistDisableSameClient),"téléchargés ou ","") &amp; "expédiés par transporteur) et l'autre, le matériel. "  &amp; "Le fait de ne pas payer l'assurance du logiciel par le transporteur réduit les frais d'expédition. " &amp;
IF(NOT(QUOTE_DistDisableSameClient),"Voir les cases à cocher ""Split in 2 Invoices"" &amp; ""Internet Download"" sur l'onglet ""Quote"".",
"Voir la case à cocher ""Split in 2 Invoices"" sur l'onglet ""Quote""."),
"Our price list allows to split an order in two different orders, each with their own invoice number, so that prices are lower (which can simplify the purchasing procedure when below a certain amount). " &amp; "One invoice contains software items (which can be " &amp; IF(NOT(QUOTE_DistDisableSameClient),"downloaded or  ","") &amp; "shipped by carrier) and the other, hardware. " &amp; "Not paying to insure the software by the carrier reduces shipping costs. " &amp;
IF(NOT(QUOTE_DistDisableSameClient),"See the ""Split in 2 Invoices"" &amp; ""Internet Download"" check boxes on the ""Quote"" sheet.","See the ""Split in 2 Invoices"" check box on the ""Quote"" sheet.")),
"")</f>
        <v>Notre liste de prix permet de diviser une commande en deux commandes différentes, chacune avec son propre numéro de facture, afin que les prix soient plus bas (ce qui peut simplifier la procédure d'achat en dessous d'un certain montant). Une facture contient les logiciels (qui peuvent être téléchargés ou expédiés par transporteur) et l'autre, le matériel. Le fait de ne pas payer l'assurance du logiciel par le transporteur réduit les frais d'expédition. Voir les cases à cocher "Split in 2 Invoices" &amp; "Internet Download" sur l'onglet "Quote".</v>
      </c>
      <c r="E111" s="816"/>
      <c r="F111" s="816"/>
      <c r="G111" s="816"/>
      <c r="H111" s="816"/>
      <c r="I111" s="816"/>
      <c r="J111" s="816"/>
      <c r="K111" s="816"/>
      <c r="L111" s="816"/>
      <c r="M111" s="816"/>
      <c r="N111" s="816"/>
      <c r="O111" s="816"/>
      <c r="P111" s="816"/>
      <c r="Q111" s="816"/>
      <c r="R111" s="563"/>
    </row>
    <row r="112" spans="2:18" ht="15.75" customHeight="1" x14ac:dyDescent="0.2">
      <c r="D112" s="816"/>
      <c r="E112" s="816"/>
      <c r="F112" s="816"/>
      <c r="G112" s="816"/>
      <c r="H112" s="816"/>
      <c r="I112" s="816"/>
      <c r="J112" s="816"/>
      <c r="K112" s="816"/>
      <c r="L112" s="816"/>
      <c r="M112" s="816"/>
      <c r="N112" s="816"/>
      <c r="O112" s="816"/>
      <c r="P112" s="816"/>
      <c r="Q112" s="816"/>
      <c r="R112" s="563"/>
    </row>
    <row r="113" spans="4:18" ht="15.75" customHeight="1" x14ac:dyDescent="0.2">
      <c r="D113" s="816"/>
      <c r="E113" s="816"/>
      <c r="F113" s="816"/>
      <c r="G113" s="816"/>
      <c r="H113" s="816"/>
      <c r="I113" s="816"/>
      <c r="J113" s="816"/>
      <c r="K113" s="816"/>
      <c r="L113" s="816"/>
      <c r="M113" s="816"/>
      <c r="N113" s="816"/>
      <c r="O113" s="816"/>
      <c r="P113" s="816"/>
      <c r="Q113" s="816"/>
      <c r="R113" s="563"/>
    </row>
    <row r="114" spans="4:18" ht="15.75" customHeight="1" x14ac:dyDescent="0.2">
      <c r="D114" s="816"/>
      <c r="E114" s="816"/>
      <c r="F114" s="816"/>
      <c r="G114" s="816"/>
      <c r="H114" s="816"/>
      <c r="I114" s="816"/>
      <c r="J114" s="816"/>
      <c r="K114" s="816"/>
      <c r="L114" s="816"/>
      <c r="M114" s="816"/>
      <c r="N114" s="816"/>
      <c r="O114" s="816"/>
      <c r="P114" s="816"/>
      <c r="Q114" s="816"/>
      <c r="R114" s="563"/>
    </row>
    <row r="115" spans="4:18" ht="15.75" customHeight="1" x14ac:dyDescent="0.2">
      <c r="D115" s="816"/>
      <c r="E115" s="816"/>
      <c r="F115" s="816"/>
      <c r="G115" s="816"/>
      <c r="H115" s="816"/>
      <c r="I115" s="816"/>
      <c r="J115" s="816"/>
      <c r="K115" s="816"/>
      <c r="L115" s="816"/>
      <c r="M115" s="816"/>
      <c r="N115" s="816"/>
      <c r="O115" s="816"/>
      <c r="P115" s="816"/>
      <c r="Q115" s="816"/>
      <c r="R115" s="563"/>
    </row>
    <row r="116" spans="4:18" ht="15.75" customHeight="1" x14ac:dyDescent="0.2"/>
    <row r="117" spans="4:18" ht="15.75" customHeight="1" x14ac:dyDescent="0.2"/>
  </sheetData>
  <sheetProtection algorithmName="SHA-512" hashValue="InuPxm1617LpPIlJIu1+TD93wHHzO1sY/DwlDxqPm4kSUGO/A2/+NDiVJobO1vZDGITQzGtktRgCIqKQmq8YrA==" saltValue="D9dO+TNwOC6RLKOnWepNcQ==" spinCount="100000" sheet="1" objects="1" scenarios="1" selectLockedCells="1"/>
  <mergeCells count="237">
    <mergeCell ref="B77:Q79"/>
    <mergeCell ref="M63:Q64"/>
    <mergeCell ref="B57:M57"/>
    <mergeCell ref="D54:M54"/>
    <mergeCell ref="D55:M55"/>
    <mergeCell ref="D47:M47"/>
    <mergeCell ref="N52:O52"/>
    <mergeCell ref="D53:M53"/>
    <mergeCell ref="D24:M24"/>
    <mergeCell ref="D25:M25"/>
    <mergeCell ref="D26:M26"/>
    <mergeCell ref="V51:AE51"/>
    <mergeCell ref="AE63:AI64"/>
    <mergeCell ref="V53:AE53"/>
    <mergeCell ref="AF41:AG41"/>
    <mergeCell ref="N45:O45"/>
    <mergeCell ref="AF55:AG55"/>
    <mergeCell ref="AF51:AG51"/>
    <mergeCell ref="V52:AE52"/>
    <mergeCell ref="V44:AE44"/>
    <mergeCell ref="AF44:AG44"/>
    <mergeCell ref="N53:O53"/>
    <mergeCell ref="N54:O54"/>
    <mergeCell ref="V41:AE41"/>
    <mergeCell ref="N55:O55"/>
    <mergeCell ref="N47:O47"/>
    <mergeCell ref="AF54:AG54"/>
    <mergeCell ref="V50:AE50"/>
    <mergeCell ref="AF50:AG50"/>
    <mergeCell ref="AF52:AG52"/>
    <mergeCell ref="AF45:AG45"/>
    <mergeCell ref="V46:AE46"/>
    <mergeCell ref="AF53:AG53"/>
    <mergeCell ref="N48:O48"/>
    <mergeCell ref="N49:O49"/>
    <mergeCell ref="W55:AE55"/>
    <mergeCell ref="D50:M50"/>
    <mergeCell ref="D51:M51"/>
    <mergeCell ref="D52:M52"/>
    <mergeCell ref="N51:O51"/>
    <mergeCell ref="N50:O50"/>
    <mergeCell ref="D39:M39"/>
    <mergeCell ref="V28:AE28"/>
    <mergeCell ref="AF28:AG28"/>
    <mergeCell ref="D28:M28"/>
    <mergeCell ref="D29:M29"/>
    <mergeCell ref="N28:O28"/>
    <mergeCell ref="N29:O29"/>
    <mergeCell ref="D30:M30"/>
    <mergeCell ref="D35:M35"/>
    <mergeCell ref="D31:M31"/>
    <mergeCell ref="D34:M34"/>
    <mergeCell ref="N32:O32"/>
    <mergeCell ref="N31:O31"/>
    <mergeCell ref="V37:AE37"/>
    <mergeCell ref="D38:M38"/>
    <mergeCell ref="N33:O33"/>
    <mergeCell ref="N34:O34"/>
    <mergeCell ref="AF32:AG32"/>
    <mergeCell ref="V45:AE45"/>
    <mergeCell ref="AF42:AG42"/>
    <mergeCell ref="AF43:AG43"/>
    <mergeCell ref="N46:O46"/>
    <mergeCell ref="N40:O40"/>
    <mergeCell ref="D49:M49"/>
    <mergeCell ref="D48:M48"/>
    <mergeCell ref="N44:O44"/>
    <mergeCell ref="D41:M41"/>
    <mergeCell ref="AF49:AG49"/>
    <mergeCell ref="D44:M44"/>
    <mergeCell ref="D45:M45"/>
    <mergeCell ref="D46:M46"/>
    <mergeCell ref="D40:M40"/>
    <mergeCell ref="N43:O43"/>
    <mergeCell ref="N41:O41"/>
    <mergeCell ref="N42:O42"/>
    <mergeCell ref="D43:M43"/>
    <mergeCell ref="D42:M42"/>
    <mergeCell ref="AF39:AG39"/>
    <mergeCell ref="V40:AE40"/>
    <mergeCell ref="AF40:AG40"/>
    <mergeCell ref="D27:M27"/>
    <mergeCell ref="N27:O27"/>
    <mergeCell ref="N25:O25"/>
    <mergeCell ref="N26:O26"/>
    <mergeCell ref="M19:O19"/>
    <mergeCell ref="N39:O39"/>
    <mergeCell ref="D33:M33"/>
    <mergeCell ref="N36:O36"/>
    <mergeCell ref="N37:O37"/>
    <mergeCell ref="N38:O38"/>
    <mergeCell ref="N35:O35"/>
    <mergeCell ref="D32:M32"/>
    <mergeCell ref="D36:M36"/>
    <mergeCell ref="D37:M37"/>
    <mergeCell ref="N24:O24"/>
    <mergeCell ref="V39:AE39"/>
    <mergeCell ref="N22:O22"/>
    <mergeCell ref="D22:E22"/>
    <mergeCell ref="D23:M23"/>
    <mergeCell ref="N23:O23"/>
    <mergeCell ref="AF38:AG38"/>
    <mergeCell ref="L6:O6"/>
    <mergeCell ref="J5:K5"/>
    <mergeCell ref="AD7:AF7"/>
    <mergeCell ref="B9:F10"/>
    <mergeCell ref="B12:F12"/>
    <mergeCell ref="H12:K12"/>
    <mergeCell ref="P12:Q12"/>
    <mergeCell ref="M12:O12"/>
    <mergeCell ref="H9:K10"/>
    <mergeCell ref="M9:Q10"/>
    <mergeCell ref="L7:N7"/>
    <mergeCell ref="O7:Q7"/>
    <mergeCell ref="H7:I7"/>
    <mergeCell ref="J7:K7"/>
    <mergeCell ref="AH5:AI5"/>
    <mergeCell ref="AH6:AI6"/>
    <mergeCell ref="P2:Q2"/>
    <mergeCell ref="P3:Q3"/>
    <mergeCell ref="T14:X14"/>
    <mergeCell ref="Z14:AC14"/>
    <mergeCell ref="Z13:AC13"/>
    <mergeCell ref="AA18:AC18"/>
    <mergeCell ref="T16:X16"/>
    <mergeCell ref="Z15:AC15"/>
    <mergeCell ref="T15:X15"/>
    <mergeCell ref="P15:Q16"/>
    <mergeCell ref="AE9:AI10"/>
    <mergeCell ref="AH12:AI12"/>
    <mergeCell ref="AH2:AI2"/>
    <mergeCell ref="AH3:AI3"/>
    <mergeCell ref="AH4:AI4"/>
    <mergeCell ref="AD2:AG2"/>
    <mergeCell ref="P14:Q14"/>
    <mergeCell ref="P13:Q13"/>
    <mergeCell ref="Z16:AC16"/>
    <mergeCell ref="V33:AE33"/>
    <mergeCell ref="AF33:AG33"/>
    <mergeCell ref="V34:AE34"/>
    <mergeCell ref="AF34:AG34"/>
    <mergeCell ref="V36:AE36"/>
    <mergeCell ref="AF36:AG36"/>
    <mergeCell ref="AF35:AG35"/>
    <mergeCell ref="N30:O30"/>
    <mergeCell ref="V30:AE30"/>
    <mergeCell ref="AF37:AG37"/>
    <mergeCell ref="V32:AE32"/>
    <mergeCell ref="AF30:AG30"/>
    <mergeCell ref="V27:AE27"/>
    <mergeCell ref="AF27:AG27"/>
    <mergeCell ref="AG7:AI7"/>
    <mergeCell ref="AE14:AG14"/>
    <mergeCell ref="AE12:AG12"/>
    <mergeCell ref="AE13:AG13"/>
    <mergeCell ref="AH13:AI13"/>
    <mergeCell ref="AH14:AI14"/>
    <mergeCell ref="AH15:AI16"/>
    <mergeCell ref="AE15:AG15"/>
    <mergeCell ref="AF25:AG25"/>
    <mergeCell ref="V23:AE23"/>
    <mergeCell ref="T17:X17"/>
    <mergeCell ref="Z17:AC17"/>
    <mergeCell ref="AF22:AG22"/>
    <mergeCell ref="V24:AE24"/>
    <mergeCell ref="AE19:AG19"/>
    <mergeCell ref="U18:X18"/>
    <mergeCell ref="AF24:AG24"/>
    <mergeCell ref="AF23:AG23"/>
    <mergeCell ref="V25:AE25"/>
    <mergeCell ref="V22:W22"/>
    <mergeCell ref="H17:K17"/>
    <mergeCell ref="M17:O17"/>
    <mergeCell ref="I18:K18"/>
    <mergeCell ref="B17:F17"/>
    <mergeCell ref="C18:F18"/>
    <mergeCell ref="B14:F14"/>
    <mergeCell ref="H16:K16"/>
    <mergeCell ref="H13:K13"/>
    <mergeCell ref="M13:O13"/>
    <mergeCell ref="B15:F15"/>
    <mergeCell ref="B16:F16"/>
    <mergeCell ref="H15:K15"/>
    <mergeCell ref="M15:O15"/>
    <mergeCell ref="M18:O18"/>
    <mergeCell ref="B13:F13"/>
    <mergeCell ref="M14:O14"/>
    <mergeCell ref="H14:K14"/>
    <mergeCell ref="N1:Q1"/>
    <mergeCell ref="T9:X10"/>
    <mergeCell ref="Z9:AC10"/>
    <mergeCell ref="T12:X12"/>
    <mergeCell ref="Z12:AC12"/>
    <mergeCell ref="T13:X13"/>
    <mergeCell ref="P4:Q4"/>
    <mergeCell ref="P5:Q5"/>
    <mergeCell ref="P6:Q6"/>
    <mergeCell ref="L2:O2"/>
    <mergeCell ref="L3:O3"/>
    <mergeCell ref="L4:O4"/>
    <mergeCell ref="L5:O5"/>
    <mergeCell ref="AF1:AI1"/>
    <mergeCell ref="AD3:AG3"/>
    <mergeCell ref="AD4:AG4"/>
    <mergeCell ref="AD5:AG5"/>
    <mergeCell ref="AD6:AG6"/>
    <mergeCell ref="V54:AE54"/>
    <mergeCell ref="V35:AE35"/>
    <mergeCell ref="AF46:AG46"/>
    <mergeCell ref="V31:AE31"/>
    <mergeCell ref="AF31:AG31"/>
    <mergeCell ref="V42:AE42"/>
    <mergeCell ref="V43:AE43"/>
    <mergeCell ref="AE17:AG17"/>
    <mergeCell ref="AE18:AG18"/>
    <mergeCell ref="V29:AE29"/>
    <mergeCell ref="AF29:AG29"/>
    <mergeCell ref="V26:AE26"/>
    <mergeCell ref="AF26:AG26"/>
    <mergeCell ref="V47:AE47"/>
    <mergeCell ref="AF47:AG47"/>
    <mergeCell ref="V48:AE48"/>
    <mergeCell ref="AF48:AG48"/>
    <mergeCell ref="V49:AE49"/>
    <mergeCell ref="V38:AE38"/>
    <mergeCell ref="D111:Q115"/>
    <mergeCell ref="D82:R83"/>
    <mergeCell ref="D89:R89"/>
    <mergeCell ref="D99:R100"/>
    <mergeCell ref="D101:R101"/>
    <mergeCell ref="D103:R106"/>
    <mergeCell ref="D84:R85"/>
    <mergeCell ref="D90:R94"/>
    <mergeCell ref="D86:R88"/>
    <mergeCell ref="D107:K110"/>
    <mergeCell ref="L107:R110"/>
    <mergeCell ref="D95:R98"/>
  </mergeCells>
  <conditionalFormatting sqref="N1 AF1">
    <cfRule type="expression" dxfId="151" priority="11">
      <formula>IF(LEN($N$1)&gt;40,1,0)</formula>
    </cfRule>
  </conditionalFormatting>
  <conditionalFormatting sqref="AH23:AI55 P23:Q55">
    <cfRule type="expression" dxfId="150" priority="6">
      <formula>IF(Distributeurs_Rabais,1,0)</formula>
    </cfRule>
  </conditionalFormatting>
  <conditionalFormatting sqref="AG56:AI62">
    <cfRule type="expression" dxfId="149" priority="5">
      <formula>IF(QUOTE_Split_SoftwareHardware,0,1)</formula>
    </cfRule>
  </conditionalFormatting>
  <conditionalFormatting sqref="O58:P60">
    <cfRule type="expression" dxfId="148" priority="3">
      <formula>IF(OR(SHIP_Country_Index=99,SHIP_CrossShipping=1),1,0)</formula>
    </cfRule>
  </conditionalFormatting>
  <conditionalFormatting sqref="P12:Q12">
    <cfRule type="expression" dxfId="147" priority="2">
      <formula>IF(AND(QUOTE_Split_SoftwareHardware,QUOTE_InternetDownload),1,0)</formula>
    </cfRule>
  </conditionalFormatting>
  <hyperlinks>
    <hyperlink ref="M65" r:id="rId1" xr:uid="{5AE88DAD-7E2D-45AA-ACDD-A38C20075C26}"/>
    <hyperlink ref="AE65" r:id="rId2" xr:uid="{BF1C1E76-275B-4D1A-8F2F-0ABBEF3AFEAF}"/>
  </hyperlinks>
  <pageMargins left="0.23622047244094499" right="0.23622047244094499" top="0.31496062992126" bottom="0.118110236220472" header="0.31496062992126" footer="0.70866141732283505"/>
  <pageSetup scale="99" fitToHeight="0" orientation="portrait" horizontalDpi="1200" verticalDpi="1200" r:id="rId3"/>
  <colBreaks count="1" manualBreakCount="1">
    <brk id="18" max="65" man="1"/>
  </colBreaks>
  <drawing r:id="rId4"/>
  <legacyDrawing r:id="rId5"/>
  <mc:AlternateContent xmlns:mc="http://schemas.openxmlformats.org/markup-compatibility/2006">
    <mc:Choice Requires="x14">
      <controls>
        <mc:AlternateContent xmlns:mc="http://schemas.openxmlformats.org/markup-compatibility/2006">
          <mc:Choice Requires="x14">
            <control shapeId="98307" r:id="rId6" name="CheckboxSoftwareHardware">
              <controlPr defaultSize="0" autoFill="0" autoLine="0" autoPict="0" altText="Detailed Prices">
                <anchor moveWithCells="1">
                  <from>
                    <xdr:col>6</xdr:col>
                    <xdr:colOff>25400</xdr:colOff>
                    <xdr:row>6</xdr:row>
                    <xdr:rowOff>25400</xdr:rowOff>
                  </from>
                  <to>
                    <xdr:col>7</xdr:col>
                    <xdr:colOff>127000</xdr:colOff>
                    <xdr:row>7</xdr:row>
                    <xdr:rowOff>25400</xdr:rowOff>
                  </to>
                </anchor>
              </controlPr>
            </control>
          </mc:Choice>
        </mc:AlternateContent>
        <mc:AlternateContent xmlns:mc="http://schemas.openxmlformats.org/markup-compatibility/2006">
          <mc:Choice Requires="x14">
            <control shapeId="98311" r:id="rId7" name="CheckBoxInternetDownload">
              <controlPr defaultSize="0" autoFill="0" autoLine="0" autoPict="0" altText="Detailed Prices">
                <anchor moveWithCells="1">
                  <from>
                    <xdr:col>8</xdr:col>
                    <xdr:colOff>787400</xdr:colOff>
                    <xdr:row>6</xdr:row>
                    <xdr:rowOff>25400</xdr:rowOff>
                  </from>
                  <to>
                    <xdr:col>9</xdr:col>
                    <xdr:colOff>127000</xdr:colOff>
                    <xdr:row>7</xdr:row>
                    <xdr:rowOff>25400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2" id="{5151FF35-9A92-44DA-BE7D-813A23ED9924}">
            <xm:f>IF(OR(D24=QCalc!$I$159,D24=QCalc!$I$160),1,0)</xm:f>
            <x14:dxf>
              <font>
                <color rgb="FFC00000"/>
              </font>
            </x14:dxf>
          </x14:cfRule>
          <xm:sqref>D24:M54</xm:sqref>
        </x14:conditionalFormatting>
        <x14:conditionalFormatting xmlns:xm="http://schemas.microsoft.com/office/excel/2006/main">
          <x14:cfRule type="expression" priority="1" id="{47416262-6D5E-4F20-BB35-221CAEAA694B}">
            <xm:f>IF(D24=QCalc!$I$158,1,0)</xm:f>
            <x14:dxf>
              <font>
                <b/>
                <i val="0"/>
                <color rgb="FFFF0000"/>
              </font>
            </x14:dxf>
          </x14:cfRule>
          <xm:sqref>D24:M54 V24:AE54</xm:sqref>
        </x14:conditionalFormatting>
      </x14:conditionalFormatting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0ADF6-F39D-477D-BFD1-6FCB888484D0}">
  <sheetPr codeName="Sheet25">
    <pageSetUpPr fitToPage="1"/>
  </sheetPr>
  <dimension ref="A1:AW59"/>
  <sheetViews>
    <sheetView showGridLines="0" zoomScaleNormal="100" workbookViewId="0">
      <selection activeCell="D3" sqref="D3:G3"/>
    </sheetView>
  </sheetViews>
  <sheetFormatPr baseColWidth="10" defaultColWidth="11" defaultRowHeight="16" x14ac:dyDescent="0.2"/>
  <cols>
    <col min="1" max="1" width="2.83203125" customWidth="1"/>
    <col min="2" max="2" width="53.5" customWidth="1"/>
    <col min="3" max="3" width="2.5" customWidth="1"/>
    <col min="4" max="8" width="7.5" customWidth="1"/>
    <col min="9" max="9" width="8.1640625" customWidth="1"/>
    <col min="10" max="12" width="9" customWidth="1"/>
    <col min="13" max="13" width="10.33203125" customWidth="1"/>
    <col min="14" max="14" width="6" customWidth="1"/>
    <col min="15" max="15" width="8" customWidth="1"/>
    <col min="16" max="16" width="6.5" customWidth="1"/>
    <col min="17" max="17" width="7.6640625" customWidth="1"/>
    <col min="18" max="18" width="8.1640625" customWidth="1"/>
    <col min="19" max="20" width="7.33203125" customWidth="1"/>
    <col min="21" max="21" width="5.6640625" customWidth="1"/>
    <col min="22" max="22" width="10.1640625" customWidth="1"/>
    <col min="23" max="26" width="9.1640625" customWidth="1"/>
    <col min="30" max="39" width="7.6640625" customWidth="1"/>
    <col min="40" max="40" width="7.83203125" customWidth="1"/>
    <col min="42" max="42" width="9" customWidth="1"/>
    <col min="43" max="43" width="7.33203125" customWidth="1"/>
    <col min="44" max="44" width="7" customWidth="1"/>
    <col min="45" max="45" width="7.33203125" customWidth="1"/>
  </cols>
  <sheetData>
    <row r="1" spans="1:45" x14ac:dyDescent="0.2">
      <c r="B1" s="529" t="s">
        <v>521</v>
      </c>
      <c r="C1" s="529"/>
      <c r="D1" s="529">
        <v>1</v>
      </c>
      <c r="E1" s="529">
        <v>2</v>
      </c>
      <c r="F1" s="529">
        <v>3</v>
      </c>
      <c r="G1" s="529">
        <v>4</v>
      </c>
      <c r="H1" s="529">
        <v>5</v>
      </c>
      <c r="I1" s="529">
        <v>6</v>
      </c>
      <c r="J1" s="529">
        <v>7</v>
      </c>
      <c r="K1" s="529">
        <v>8</v>
      </c>
      <c r="L1" s="529">
        <v>9</v>
      </c>
      <c r="M1" s="529">
        <v>10</v>
      </c>
      <c r="N1" s="529">
        <v>11</v>
      </c>
      <c r="O1" s="529">
        <v>12</v>
      </c>
      <c r="P1" s="529">
        <v>13</v>
      </c>
      <c r="Q1" s="529">
        <v>14</v>
      </c>
      <c r="R1" s="529">
        <v>15</v>
      </c>
      <c r="S1" s="529">
        <v>16</v>
      </c>
      <c r="T1" s="529">
        <v>17</v>
      </c>
      <c r="U1" s="529">
        <v>18</v>
      </c>
      <c r="V1" s="529">
        <v>19</v>
      </c>
      <c r="W1" s="529">
        <v>20</v>
      </c>
      <c r="X1" s="529">
        <v>21</v>
      </c>
      <c r="Y1" s="529">
        <v>99</v>
      </c>
    </row>
    <row r="2" spans="1:45" x14ac:dyDescent="0.2">
      <c r="B2" t="s">
        <v>467</v>
      </c>
      <c r="D2" s="788">
        <v>1.2</v>
      </c>
      <c r="F2" s="14"/>
      <c r="G2" s="14" t="s">
        <v>468</v>
      </c>
      <c r="H2" s="14"/>
      <c r="S2" s="564" t="s">
        <v>786</v>
      </c>
      <c r="T2" s="786">
        <f>1.07*1*1*1</f>
        <v>1.07</v>
      </c>
      <c r="AB2" s="438"/>
      <c r="AC2" s="438"/>
      <c r="AD2" s="441"/>
      <c r="AE2" s="441"/>
      <c r="AF2" s="441"/>
      <c r="AG2" s="441"/>
      <c r="AH2" s="441"/>
      <c r="AI2" s="441"/>
      <c r="AJ2" s="441"/>
      <c r="AK2" s="441"/>
      <c r="AL2" s="441"/>
      <c r="AM2" s="441"/>
      <c r="AN2" s="438"/>
    </row>
    <row r="3" spans="1:45" x14ac:dyDescent="0.2">
      <c r="A3" s="438"/>
      <c r="B3" s="438"/>
      <c r="C3" s="438"/>
      <c r="D3" s="934" t="s">
        <v>469</v>
      </c>
      <c r="E3" s="934"/>
      <c r="F3" s="934"/>
      <c r="G3" s="934"/>
      <c r="H3" s="790"/>
      <c r="I3" s="935" t="s">
        <v>470</v>
      </c>
      <c r="J3" s="935"/>
      <c r="K3" s="935"/>
      <c r="L3" s="935"/>
      <c r="M3" s="935"/>
      <c r="O3" s="936" t="s">
        <v>471</v>
      </c>
      <c r="P3" s="936"/>
      <c r="Q3" s="936"/>
      <c r="R3" s="936"/>
      <c r="S3" s="936"/>
      <c r="T3" s="936"/>
      <c r="V3" s="477" t="s">
        <v>683</v>
      </c>
      <c r="W3" s="478" t="s">
        <v>684</v>
      </c>
      <c r="X3" s="478" t="s">
        <v>520</v>
      </c>
      <c r="Y3" s="478" t="s">
        <v>472</v>
      </c>
    </row>
    <row r="4" spans="1:45" s="479" customFormat="1" ht="45" x14ac:dyDescent="0.2">
      <c r="B4" s="480" t="s">
        <v>282</v>
      </c>
      <c r="C4" s="438"/>
      <c r="D4" s="481" t="s">
        <v>6</v>
      </c>
      <c r="E4" s="482" t="s">
        <v>133</v>
      </c>
      <c r="F4" s="482" t="s">
        <v>685</v>
      </c>
      <c r="G4" s="482" t="s">
        <v>431</v>
      </c>
      <c r="H4" s="790"/>
      <c r="I4" s="482" t="s">
        <v>686</v>
      </c>
      <c r="J4" s="482" t="s">
        <v>473</v>
      </c>
      <c r="K4" s="482" t="s">
        <v>474</v>
      </c>
      <c r="L4" s="482" t="s">
        <v>475</v>
      </c>
      <c r="M4" s="482" t="s">
        <v>687</v>
      </c>
      <c r="N4"/>
      <c r="O4" s="483"/>
      <c r="P4" s="498">
        <v>602</v>
      </c>
      <c r="Q4" s="483"/>
      <c r="R4" s="498">
        <v>607</v>
      </c>
      <c r="S4" s="498">
        <v>606</v>
      </c>
      <c r="T4" s="498">
        <v>607</v>
      </c>
      <c r="U4"/>
      <c r="V4" s="498">
        <v>609</v>
      </c>
      <c r="W4" s="483" t="s">
        <v>688</v>
      </c>
      <c r="X4" s="483" t="s">
        <v>522</v>
      </c>
      <c r="Y4" s="512" t="s">
        <v>689</v>
      </c>
      <c r="Z4" s="512"/>
      <c r="AA4"/>
      <c r="AB4" s="480" t="s">
        <v>282</v>
      </c>
      <c r="AD4" s="484"/>
      <c r="AE4" s="483"/>
      <c r="AF4" s="483" t="s">
        <v>431</v>
      </c>
      <c r="AG4" s="483" t="s">
        <v>476</v>
      </c>
      <c r="AH4" s="483" t="s">
        <v>310</v>
      </c>
      <c r="AJ4" s="483" t="s">
        <v>288</v>
      </c>
      <c r="AK4" s="483" t="s">
        <v>285</v>
      </c>
      <c r="AL4" s="483" t="s">
        <v>286</v>
      </c>
      <c r="AM4" s="483" t="s">
        <v>287</v>
      </c>
      <c r="AN4" s="483" t="s">
        <v>284</v>
      </c>
      <c r="AP4" s="479" t="s">
        <v>690</v>
      </c>
      <c r="AQ4" s="479" t="s">
        <v>447</v>
      </c>
      <c r="AR4" s="479" t="s">
        <v>450</v>
      </c>
      <c r="AS4" s="479" t="s">
        <v>691</v>
      </c>
    </row>
    <row r="5" spans="1:45" s="11" customFormat="1" ht="108" customHeight="1" x14ac:dyDescent="0.2">
      <c r="B5" s="485" t="s">
        <v>293</v>
      </c>
      <c r="C5" s="438"/>
      <c r="D5" s="13"/>
      <c r="E5" s="6"/>
      <c r="F5" s="5" t="s">
        <v>692</v>
      </c>
      <c r="G5" s="6"/>
      <c r="H5" s="790"/>
      <c r="I5" s="486" t="s">
        <v>477</v>
      </c>
      <c r="J5" s="486" t="s">
        <v>478</v>
      </c>
      <c r="K5" s="486" t="s">
        <v>479</v>
      </c>
      <c r="L5" s="486" t="s">
        <v>480</v>
      </c>
      <c r="M5" s="486" t="s">
        <v>481</v>
      </c>
      <c r="N5"/>
      <c r="O5" s="486" t="s">
        <v>482</v>
      </c>
      <c r="P5" s="486" t="s">
        <v>310</v>
      </c>
      <c r="Q5" s="5" t="s">
        <v>483</v>
      </c>
      <c r="R5" s="486" t="s">
        <v>484</v>
      </c>
      <c r="S5" s="486" t="s">
        <v>485</v>
      </c>
      <c r="T5" s="487" t="s">
        <v>287</v>
      </c>
      <c r="U5"/>
      <c r="V5" s="5" t="s">
        <v>486</v>
      </c>
      <c r="W5" s="5" t="s">
        <v>487</v>
      </c>
      <c r="X5" s="5" t="s">
        <v>693</v>
      </c>
      <c r="Y5" s="5"/>
      <c r="Z5"/>
      <c r="AA5"/>
      <c r="AB5" s="485" t="s">
        <v>293</v>
      </c>
      <c r="AD5" s="13" t="s">
        <v>289</v>
      </c>
      <c r="AE5" s="6" t="s">
        <v>220</v>
      </c>
      <c r="AF5" s="6" t="s">
        <v>488</v>
      </c>
      <c r="AG5" s="6" t="s">
        <v>283</v>
      </c>
      <c r="AL5" s="11" t="s">
        <v>405</v>
      </c>
      <c r="AP5" s="5" t="s">
        <v>487</v>
      </c>
      <c r="AS5" s="5" t="s">
        <v>694</v>
      </c>
    </row>
    <row r="6" spans="1:45" s="488" customFormat="1" ht="17" customHeight="1" x14ac:dyDescent="0.2">
      <c r="B6" s="489" t="s">
        <v>695</v>
      </c>
      <c r="C6" s="438"/>
      <c r="D6" s="513">
        <v>118</v>
      </c>
      <c r="E6" s="513">
        <v>193</v>
      </c>
      <c r="F6" s="514">
        <v>206</v>
      </c>
      <c r="G6" s="513">
        <v>333</v>
      </c>
      <c r="H6" s="790"/>
      <c r="I6" s="515">
        <v>370</v>
      </c>
      <c r="J6" s="515">
        <v>370</v>
      </c>
      <c r="K6" s="515">
        <v>370</v>
      </c>
      <c r="L6" s="515">
        <v>370</v>
      </c>
      <c r="M6" s="516">
        <v>650</v>
      </c>
      <c r="N6"/>
      <c r="O6" s="516">
        <v>383</v>
      </c>
      <c r="P6" s="513">
        <v>393</v>
      </c>
      <c r="Q6" s="513">
        <v>490</v>
      </c>
      <c r="R6" s="516">
        <v>498</v>
      </c>
      <c r="S6" s="516">
        <v>498</v>
      </c>
      <c r="T6" s="513">
        <v>632</v>
      </c>
      <c r="U6"/>
      <c r="V6" s="516">
        <v>632</v>
      </c>
      <c r="W6" s="516">
        <v>650</v>
      </c>
      <c r="X6" s="516">
        <v>748</v>
      </c>
      <c r="Y6" s="491"/>
      <c r="Z6"/>
      <c r="AA6"/>
      <c r="AB6" s="489"/>
      <c r="AD6" s="493"/>
      <c r="AE6" s="492"/>
      <c r="AF6" s="492"/>
      <c r="AG6" s="492"/>
    </row>
    <row r="7" spans="1:45" s="494" customFormat="1" ht="17" customHeight="1" x14ac:dyDescent="0.2">
      <c r="B7" s="495" t="s">
        <v>489</v>
      </c>
      <c r="C7" s="438"/>
      <c r="D7" s="514">
        <f>D6*$D$2</f>
        <v>141.6</v>
      </c>
      <c r="E7" s="514">
        <f>E6*$D$2</f>
        <v>231.6</v>
      </c>
      <c r="F7" s="517">
        <f>F6*$D$2</f>
        <v>247.2</v>
      </c>
      <c r="G7" s="514">
        <f t="shared" ref="G7" si="0">G6*$D$2</f>
        <v>399.59999999999997</v>
      </c>
      <c r="H7" s="790"/>
      <c r="I7" s="518">
        <f t="shared" ref="I7:M7" si="1">I6*$D$2</f>
        <v>444</v>
      </c>
      <c r="J7" s="518">
        <f t="shared" si="1"/>
        <v>444</v>
      </c>
      <c r="K7" s="518">
        <f t="shared" si="1"/>
        <v>444</v>
      </c>
      <c r="L7" s="518">
        <f t="shared" si="1"/>
        <v>444</v>
      </c>
      <c r="M7" s="514">
        <f t="shared" si="1"/>
        <v>780</v>
      </c>
      <c r="N7"/>
      <c r="O7" s="514">
        <f t="shared" ref="O7:T7" si="2">O6*$D$2</f>
        <v>459.59999999999997</v>
      </c>
      <c r="P7" s="514">
        <f t="shared" si="2"/>
        <v>471.59999999999997</v>
      </c>
      <c r="Q7" s="514">
        <f t="shared" si="2"/>
        <v>588</v>
      </c>
      <c r="R7" s="514">
        <f t="shared" si="2"/>
        <v>597.6</v>
      </c>
      <c r="S7" s="514">
        <f t="shared" si="2"/>
        <v>597.6</v>
      </c>
      <c r="T7" s="514">
        <f t="shared" si="2"/>
        <v>758.4</v>
      </c>
      <c r="U7"/>
      <c r="V7" s="514">
        <f t="shared" ref="V7" si="3">V6*$D$2</f>
        <v>758.4</v>
      </c>
      <c r="W7" s="514">
        <f>W6*$D$2</f>
        <v>780</v>
      </c>
      <c r="X7" s="514">
        <f>X6*$D$2</f>
        <v>897.6</v>
      </c>
      <c r="Y7" s="496"/>
      <c r="Z7"/>
      <c r="AA7"/>
      <c r="AB7" s="495"/>
      <c r="AD7" s="497"/>
      <c r="AE7" s="490"/>
      <c r="AF7" s="490"/>
      <c r="AG7" s="490"/>
    </row>
    <row r="8" spans="1:45" s="494" customFormat="1" ht="17" customHeight="1" x14ac:dyDescent="0.2">
      <c r="B8" s="495" t="s">
        <v>696</v>
      </c>
      <c r="C8" s="438"/>
      <c r="D8" s="496"/>
      <c r="E8" s="496"/>
      <c r="F8" s="519">
        <f>F6/E6</f>
        <v>1.0673575129533679</v>
      </c>
      <c r="G8" s="496"/>
      <c r="H8" s="790"/>
      <c r="I8" s="520"/>
      <c r="J8" s="520"/>
      <c r="K8" s="520"/>
      <c r="L8" s="520"/>
      <c r="M8" s="496"/>
      <c r="N8"/>
      <c r="O8" s="519">
        <f>O7/$I$7</f>
        <v>1.035135135135135</v>
      </c>
      <c r="P8" s="519"/>
      <c r="Q8" s="519">
        <f t="shared" ref="Q8" si="4">Q7/$I$7</f>
        <v>1.3243243243243243</v>
      </c>
      <c r="R8" s="519"/>
      <c r="S8" s="519"/>
      <c r="T8" s="519"/>
      <c r="U8"/>
      <c r="V8" s="519"/>
      <c r="W8" s="519">
        <f t="shared" ref="W8:X8" si="5">W7/$I$7</f>
        <v>1.7567567567567568</v>
      </c>
      <c r="X8" s="519">
        <f t="shared" si="5"/>
        <v>2.0216216216216218</v>
      </c>
      <c r="Y8" s="496"/>
      <c r="Z8"/>
      <c r="AA8"/>
      <c r="AB8" s="495"/>
      <c r="AD8" s="497"/>
      <c r="AE8" s="490"/>
      <c r="AF8" s="490"/>
      <c r="AG8" s="490"/>
    </row>
    <row r="9" spans="1:45" s="11" customFormat="1" ht="17" customHeight="1" x14ac:dyDescent="0.2">
      <c r="B9" s="485"/>
      <c r="C9" s="438"/>
      <c r="D9" s="13"/>
      <c r="E9" s="6"/>
      <c r="F9" s="519"/>
      <c r="G9" s="6"/>
      <c r="H9" s="790"/>
      <c r="I9" s="521"/>
      <c r="J9" s="521"/>
      <c r="K9" s="521"/>
      <c r="L9" s="521"/>
      <c r="M9" s="486"/>
      <c r="N9"/>
      <c r="O9" s="486"/>
      <c r="R9" s="486"/>
      <c r="S9" s="486"/>
      <c r="U9"/>
      <c r="V9" s="5"/>
      <c r="W9" s="5"/>
      <c r="X9" s="5"/>
      <c r="Y9" s="5"/>
      <c r="Z9"/>
      <c r="AA9"/>
      <c r="AB9" s="485"/>
      <c r="AD9" s="13"/>
      <c r="AE9" s="6"/>
      <c r="AF9" s="6"/>
      <c r="AG9" s="6"/>
    </row>
    <row r="10" spans="1:45" x14ac:dyDescent="0.2">
      <c r="B10" s="406"/>
      <c r="C10" s="438"/>
      <c r="D10" s="498"/>
      <c r="E10" s="498"/>
      <c r="F10" s="498"/>
      <c r="G10" s="499"/>
      <c r="H10" s="790"/>
      <c r="I10" s="522"/>
      <c r="J10" s="412"/>
      <c r="K10" s="522"/>
      <c r="L10" s="522"/>
      <c r="M10" s="498"/>
      <c r="O10" s="498"/>
      <c r="V10" s="498"/>
      <c r="W10" s="498"/>
      <c r="X10" s="498"/>
      <c r="Y10" s="498"/>
      <c r="AB10" s="406" t="s">
        <v>290</v>
      </c>
      <c r="AD10" s="498"/>
      <c r="AE10" s="498"/>
      <c r="AF10" s="498"/>
      <c r="AG10" s="498">
        <v>601</v>
      </c>
      <c r="AH10" s="498">
        <v>602</v>
      </c>
      <c r="AI10" s="498"/>
      <c r="AJ10" s="498">
        <v>607</v>
      </c>
      <c r="AK10" s="498">
        <v>606</v>
      </c>
      <c r="AL10" s="498">
        <v>609</v>
      </c>
      <c r="AM10" s="498">
        <v>607</v>
      </c>
      <c r="AN10" s="498">
        <v>608</v>
      </c>
    </row>
    <row r="11" spans="1:45" x14ac:dyDescent="0.2">
      <c r="B11" t="s">
        <v>697</v>
      </c>
      <c r="C11" s="438"/>
      <c r="D11" s="523">
        <f>ROUND($D$2*AD11*$T$2*$D$31,0)</f>
        <v>111</v>
      </c>
      <c r="E11" s="524">
        <f>ROUND($D$2*AE11*$T$2,0)</f>
        <v>101</v>
      </c>
      <c r="F11" s="500">
        <f>ROUND(E11*$F$8,0)</f>
        <v>108</v>
      </c>
      <c r="G11" s="524">
        <f>ROUND($D$2*AF11*$T$2,0)</f>
        <v>117</v>
      </c>
      <c r="H11" s="790"/>
      <c r="I11" s="525">
        <f>ROUND($D$2*AG11*$T$2,0)</f>
        <v>135</v>
      </c>
      <c r="J11" s="412"/>
      <c r="K11" s="412"/>
      <c r="L11" s="412"/>
      <c r="M11" s="524">
        <f>ROUND($D$2*AN11*$T$2,0)</f>
        <v>240</v>
      </c>
      <c r="O11" s="500">
        <f>ROUND(I11*O$8,0)</f>
        <v>140</v>
      </c>
      <c r="P11" s="524">
        <f>ROUND($D$2*AH11*$T$2,0)</f>
        <v>173</v>
      </c>
      <c r="Q11" s="500">
        <f>ROUND(I11*Q$8,0)</f>
        <v>179</v>
      </c>
      <c r="R11" s="526">
        <f>ROUND($D$2*AJ11*$T$2,0)</f>
        <v>193</v>
      </c>
      <c r="S11" s="526">
        <f>ROUND($D$2*AK11*$T$2,0)</f>
        <v>193</v>
      </c>
      <c r="T11" s="524">
        <f>ROUND($D$2*AM11*$T$2,0)</f>
        <v>198</v>
      </c>
      <c r="V11" s="524">
        <f>ROUND($D$2*AL11*$T$2,0)</f>
        <v>198</v>
      </c>
      <c r="W11" s="500">
        <f>ROUND(I11*W$8,0)</f>
        <v>237</v>
      </c>
      <c r="X11" s="500">
        <f>ROUND(I11*X$8,0)</f>
        <v>273</v>
      </c>
      <c r="Y11" s="500"/>
      <c r="AB11" t="s">
        <v>294</v>
      </c>
      <c r="AD11" s="409">
        <v>72</v>
      </c>
      <c r="AE11" s="17">
        <v>79</v>
      </c>
      <c r="AF11" s="411">
        <v>91</v>
      </c>
      <c r="AG11" s="17">
        <v>105</v>
      </c>
      <c r="AH11" s="411">
        <f>101+34</f>
        <v>135</v>
      </c>
      <c r="AJ11" s="17">
        <v>150</v>
      </c>
      <c r="AK11" s="411">
        <v>150</v>
      </c>
      <c r="AL11" s="17">
        <v>154</v>
      </c>
      <c r="AM11" s="411">
        <v>154</v>
      </c>
      <c r="AN11" s="17">
        <v>187</v>
      </c>
    </row>
    <row r="12" spans="1:45" x14ac:dyDescent="0.2">
      <c r="C12" s="438"/>
      <c r="D12" s="526"/>
      <c r="E12" s="526"/>
      <c r="F12" s="17"/>
      <c r="G12" s="526"/>
      <c r="H12" s="790"/>
      <c r="I12" s="525"/>
      <c r="J12" s="412"/>
      <c r="K12" s="412"/>
      <c r="L12" s="412"/>
      <c r="M12" s="526"/>
      <c r="O12" s="17"/>
      <c r="P12" s="526"/>
      <c r="R12" s="526"/>
      <c r="S12" s="526"/>
      <c r="T12" s="526"/>
      <c r="V12" s="526"/>
      <c r="W12" s="17"/>
      <c r="X12" s="17"/>
      <c r="Y12" s="17"/>
      <c r="AD12" s="407"/>
      <c r="AE12" s="17"/>
    </row>
    <row r="13" spans="1:45" x14ac:dyDescent="0.2">
      <c r="B13" t="s">
        <v>698</v>
      </c>
      <c r="C13" s="438"/>
      <c r="D13" s="523">
        <f>ROUND(D7*$T$2*$D$31,0)</f>
        <v>182</v>
      </c>
      <c r="E13" s="524">
        <f>ROUND(E7*$T$2,0)</f>
        <v>248</v>
      </c>
      <c r="F13" s="500">
        <f>ROUND(F7*$T$2,0)</f>
        <v>265</v>
      </c>
      <c r="G13" s="524">
        <f>ROUND(G7*$T$2,0)</f>
        <v>428</v>
      </c>
      <c r="H13" s="790"/>
      <c r="I13" s="525">
        <f>ROUND(I7*$T$2,0)</f>
        <v>475</v>
      </c>
      <c r="J13" s="412"/>
      <c r="K13" s="412"/>
      <c r="L13" s="412"/>
      <c r="M13" s="524">
        <f>ROUND(M7*$T$2,0)</f>
        <v>835</v>
      </c>
      <c r="O13" s="500">
        <f t="shared" ref="O13:T13" si="6">ROUND(O7*$T$2,0)</f>
        <v>492</v>
      </c>
      <c r="P13" s="524">
        <f t="shared" si="6"/>
        <v>505</v>
      </c>
      <c r="Q13" s="500">
        <f t="shared" si="6"/>
        <v>629</v>
      </c>
      <c r="R13" s="524">
        <f t="shared" si="6"/>
        <v>639</v>
      </c>
      <c r="S13" s="524">
        <f t="shared" si="6"/>
        <v>639</v>
      </c>
      <c r="T13" s="524">
        <f t="shared" si="6"/>
        <v>811</v>
      </c>
      <c r="V13" s="524">
        <f>ROUND(V7*$T$2,0)</f>
        <v>811</v>
      </c>
      <c r="W13" s="500">
        <f>ROUND(W7*$T$2,0)</f>
        <v>835</v>
      </c>
      <c r="X13" s="500">
        <f>ROUND(X7*$T$2,0)</f>
        <v>960</v>
      </c>
      <c r="Y13" s="500"/>
    </row>
    <row r="14" spans="1:45" x14ac:dyDescent="0.2">
      <c r="C14" s="438"/>
      <c r="D14" s="526"/>
      <c r="E14" s="526"/>
      <c r="F14" s="17"/>
      <c r="G14" s="526"/>
      <c r="H14" s="790"/>
      <c r="I14" s="525"/>
      <c r="J14" s="412"/>
      <c r="K14" s="412"/>
      <c r="L14" s="412"/>
      <c r="M14" s="526"/>
      <c r="O14" s="17"/>
      <c r="P14" s="526"/>
      <c r="R14" s="526"/>
      <c r="S14" s="526"/>
      <c r="T14" s="526"/>
      <c r="V14" s="526"/>
      <c r="W14" s="17"/>
      <c r="X14" s="17"/>
      <c r="Y14" s="17"/>
      <c r="AD14" s="407"/>
      <c r="AE14" s="17"/>
    </row>
    <row r="15" spans="1:45" x14ac:dyDescent="0.2">
      <c r="B15" t="s">
        <v>699</v>
      </c>
      <c r="C15" s="438"/>
      <c r="D15" s="523">
        <f>ROUND($D$2*AD15*$T$2*$D$31,0)</f>
        <v>632</v>
      </c>
      <c r="E15" s="524">
        <f>ROUND($D$2*AE15*$T$2,0)</f>
        <v>715</v>
      </c>
      <c r="F15" s="500">
        <f>ROUND(E15*$F$8,0)</f>
        <v>763</v>
      </c>
      <c r="G15" s="524">
        <f>ROUND($D$2*AF15*$T$2,0)</f>
        <v>1177</v>
      </c>
      <c r="H15" s="790"/>
      <c r="I15" s="525">
        <f>ROUND($D$2*AG15*$T$2,0)</f>
        <v>1342</v>
      </c>
      <c r="J15" s="412"/>
      <c r="K15" s="412"/>
      <c r="L15" s="412"/>
      <c r="M15" s="524">
        <f>ROUND($D$2*AN15*$T$2,0)</f>
        <v>2302</v>
      </c>
      <c r="O15" s="500">
        <f>ROUND(I15*O$8,0)</f>
        <v>1389</v>
      </c>
      <c r="P15" s="524">
        <f>ROUND($D$2*AH15*$T$2,0)</f>
        <v>1398</v>
      </c>
      <c r="Q15" s="500">
        <f>ROUND(I15*Q$8,0)</f>
        <v>1777</v>
      </c>
      <c r="R15" s="524">
        <f>ROUND($D$2*AJ15*$T$2,0)</f>
        <v>1864</v>
      </c>
      <c r="S15" s="524">
        <f>ROUND($D$2*AK15*$T$2,0)</f>
        <v>1864</v>
      </c>
      <c r="T15" s="524">
        <f>ROUND($D$2*AM15*$T$2,0)</f>
        <v>2099</v>
      </c>
      <c r="V15" s="524">
        <f>ROUND($D$2*AL15*$T$2,0)</f>
        <v>2094</v>
      </c>
      <c r="W15" s="500">
        <f>ROUND(I15*W$8,0)</f>
        <v>2358</v>
      </c>
      <c r="X15" s="500">
        <f>ROUND(I15*X$8,0)</f>
        <v>2713</v>
      </c>
      <c r="Y15" s="500"/>
      <c r="AB15" t="s">
        <v>295</v>
      </c>
      <c r="AD15" s="409">
        <v>410</v>
      </c>
      <c r="AE15" s="17">
        <v>557</v>
      </c>
      <c r="AF15" s="411">
        <v>917</v>
      </c>
      <c r="AG15" s="17">
        <v>1045</v>
      </c>
      <c r="AH15" s="411">
        <v>1089</v>
      </c>
      <c r="AJ15" s="17">
        <v>1452</v>
      </c>
      <c r="AK15" s="411">
        <v>1452</v>
      </c>
      <c r="AL15" s="17">
        <v>1631</v>
      </c>
      <c r="AM15" s="411">
        <v>1635</v>
      </c>
      <c r="AN15" s="17">
        <v>1793</v>
      </c>
    </row>
    <row r="16" spans="1:45" x14ac:dyDescent="0.2">
      <c r="B16" t="s">
        <v>700</v>
      </c>
      <c r="C16" s="438"/>
      <c r="D16" s="523">
        <f>ROUND($D$2*AD16*$T$2*$D$31,0)</f>
        <v>475</v>
      </c>
      <c r="E16" s="524">
        <f>ROUND($D$2*AE16*$T$2,0)</f>
        <v>480</v>
      </c>
      <c r="F16" s="500">
        <f>ROUND(E16*$F$8,0)</f>
        <v>512</v>
      </c>
      <c r="G16" s="524">
        <f>ROUND($D$2*AF16*$T$2,0)</f>
        <v>746</v>
      </c>
      <c r="H16" s="790"/>
      <c r="I16" s="525">
        <f>ROUND($D$2*AG16*$T$2,0)</f>
        <v>849</v>
      </c>
      <c r="J16" s="412"/>
      <c r="K16" s="412"/>
      <c r="L16" s="412"/>
      <c r="M16" s="524">
        <f>ROUND($D$2*AN16*$T$2,0)</f>
        <v>1398</v>
      </c>
      <c r="O16" s="500">
        <f>ROUND(I16*O$8,0)</f>
        <v>879</v>
      </c>
      <c r="P16" s="524">
        <f>ROUND($D$2*AH16*$T$2,0)</f>
        <v>873</v>
      </c>
      <c r="Q16" s="500">
        <f>ROUND(I16*Q$8,0)</f>
        <v>1124</v>
      </c>
      <c r="R16" s="524">
        <f>ROUND($D$2*AJ16*$T$2,0)</f>
        <v>1118</v>
      </c>
      <c r="S16" s="524">
        <f>ROUND($D$2*AK16*$T$2,0)</f>
        <v>1118</v>
      </c>
      <c r="T16" s="524">
        <f>ROUND($D$2*AM16*$T$2,0)</f>
        <v>1370</v>
      </c>
      <c r="V16" s="524">
        <f>ROUND($D$2*AL16*$T$2,0)</f>
        <v>1373</v>
      </c>
      <c r="W16" s="500">
        <f>ROUND(I16*W$8,0)</f>
        <v>1491</v>
      </c>
      <c r="X16" s="500">
        <f>ROUND(I16*X$8,0)</f>
        <v>1716</v>
      </c>
      <c r="Y16" s="500"/>
      <c r="AB16" t="s">
        <v>296</v>
      </c>
      <c r="AD16" s="409">
        <v>308</v>
      </c>
      <c r="AE16" s="17">
        <v>374</v>
      </c>
      <c r="AF16" s="411">
        <v>581</v>
      </c>
      <c r="AG16" s="17">
        <v>661</v>
      </c>
      <c r="AH16" s="411">
        <v>680</v>
      </c>
      <c r="AJ16" s="17">
        <v>871</v>
      </c>
      <c r="AK16" s="411">
        <v>871</v>
      </c>
      <c r="AL16" s="17">
        <v>1069</v>
      </c>
      <c r="AM16" s="411">
        <v>1067</v>
      </c>
      <c r="AN16" s="17">
        <v>1089</v>
      </c>
    </row>
    <row r="17" spans="2:49" x14ac:dyDescent="0.2">
      <c r="C17" s="438"/>
      <c r="D17" s="526"/>
      <c r="E17" s="526"/>
      <c r="F17" s="17"/>
      <c r="G17" s="526"/>
      <c r="H17" s="790"/>
      <c r="I17" s="525"/>
      <c r="J17" s="412"/>
      <c r="K17" s="412"/>
      <c r="L17" s="412"/>
      <c r="M17" s="526"/>
      <c r="O17" s="17"/>
      <c r="P17" s="526"/>
      <c r="R17" s="526"/>
      <c r="S17" s="526"/>
      <c r="T17" s="526"/>
      <c r="V17" s="526"/>
      <c r="W17" s="17"/>
      <c r="X17" s="17"/>
      <c r="Y17" s="17"/>
      <c r="AD17" s="407"/>
      <c r="AE17" s="17"/>
      <c r="AF17" s="411"/>
      <c r="AG17" s="17"/>
      <c r="AH17" s="411"/>
      <c r="AJ17" s="17"/>
      <c r="AK17" s="411"/>
      <c r="AL17" s="17"/>
      <c r="AM17" s="411"/>
      <c r="AN17" s="17"/>
    </row>
    <row r="18" spans="2:49" x14ac:dyDescent="0.2">
      <c r="B18" t="s">
        <v>787</v>
      </c>
      <c r="C18" s="438"/>
      <c r="D18" s="523">
        <f>ROUND($D$2*AD18*$T$2*$D$31,0)</f>
        <v>293</v>
      </c>
      <c r="E18" s="524">
        <f>ROUND($D$2*AE18*$T$2,0)</f>
        <v>288</v>
      </c>
      <c r="F18" s="500">
        <f>ROUND(E18*$F$8,0)</f>
        <v>307</v>
      </c>
      <c r="G18" s="524">
        <f>ROUND($D$2*AF18*$T$2,0)</f>
        <v>398</v>
      </c>
      <c r="H18" s="790"/>
      <c r="I18" s="525">
        <f>ROUND($D$2*AG18*$T$2,0)</f>
        <v>448</v>
      </c>
      <c r="J18" s="412"/>
      <c r="K18" s="412"/>
      <c r="L18" s="412"/>
      <c r="M18" s="524">
        <f>ROUND($D$2*AN18*$T$2,0)</f>
        <v>716</v>
      </c>
      <c r="O18" s="500">
        <f>ROUND(I18*O$8,0)</f>
        <v>464</v>
      </c>
      <c r="P18" s="524">
        <f>ROUND($D$2*AH18*$T$2,0)</f>
        <v>461</v>
      </c>
      <c r="Q18" s="500">
        <f>ROUND(I18*Q$8,0)</f>
        <v>593</v>
      </c>
      <c r="R18" s="524">
        <f t="shared" ref="R18:S20" si="7">ROUND($D$2*AJ18*$T$2,0)</f>
        <v>561</v>
      </c>
      <c r="S18" s="524">
        <f t="shared" si="7"/>
        <v>795</v>
      </c>
      <c r="T18" s="524">
        <f>ROUND($D$2*AM18*$T$2,0)</f>
        <v>673</v>
      </c>
      <c r="V18" s="524">
        <f>ROUND($D$2*AL18*$T$2,0)</f>
        <v>670</v>
      </c>
      <c r="W18" s="500">
        <f>ROUND(I18*W$8,0)</f>
        <v>787</v>
      </c>
      <c r="X18" s="500">
        <f>ROUND(I18*X$8,0)</f>
        <v>906</v>
      </c>
      <c r="Y18" s="500"/>
      <c r="AB18" t="s">
        <v>297</v>
      </c>
      <c r="AD18" s="409">
        <v>190</v>
      </c>
      <c r="AE18" s="17">
        <v>224</v>
      </c>
      <c r="AF18" s="411">
        <v>310</v>
      </c>
      <c r="AG18" s="17">
        <v>349</v>
      </c>
      <c r="AH18" s="411">
        <v>359</v>
      </c>
      <c r="AJ18" s="17">
        <v>437</v>
      </c>
      <c r="AK18" s="411">
        <v>619</v>
      </c>
      <c r="AL18" s="17">
        <v>522</v>
      </c>
      <c r="AM18" s="411">
        <v>524</v>
      </c>
      <c r="AN18" s="17">
        <v>558</v>
      </c>
    </row>
    <row r="19" spans="2:49" x14ac:dyDescent="0.2">
      <c r="B19" t="s">
        <v>788</v>
      </c>
      <c r="C19" s="438"/>
      <c r="D19" s="523">
        <f>ROUND($D$2*AD19*$T$2*$D$31,0)</f>
        <v>179</v>
      </c>
      <c r="E19" s="524">
        <f>ROUND($D$2*AE19*$T$2,0)</f>
        <v>176</v>
      </c>
      <c r="F19" s="500">
        <f>ROUND(E19*$F$8,0)</f>
        <v>188</v>
      </c>
      <c r="G19" s="524">
        <f>ROUND($D$2*AF19*$T$2,0)</f>
        <v>243</v>
      </c>
      <c r="H19" s="790"/>
      <c r="I19" s="525">
        <f>ROUND($D$2*AG19*$T$2,0)</f>
        <v>273</v>
      </c>
      <c r="J19" s="412"/>
      <c r="K19" s="412"/>
      <c r="L19" s="412"/>
      <c r="M19" s="524">
        <f>ROUND($D$2*AN19*$T$2,0)</f>
        <v>437</v>
      </c>
      <c r="O19" s="500">
        <f>ROUND(I19*O$8,0)</f>
        <v>283</v>
      </c>
      <c r="P19" s="524">
        <f>ROUND($D$2*AH19*$T$2,0)</f>
        <v>281</v>
      </c>
      <c r="Q19" s="500">
        <f>ROUND(I19*Q$8,0)</f>
        <v>362</v>
      </c>
      <c r="R19" s="524">
        <f t="shared" si="7"/>
        <v>343</v>
      </c>
      <c r="S19" s="524">
        <f t="shared" si="7"/>
        <v>485</v>
      </c>
      <c r="T19" s="524">
        <f>ROUND($D$2*AM19*$T$2,0)</f>
        <v>411</v>
      </c>
      <c r="V19" s="524">
        <f>ROUND($D$2*AL19*$T$2,0)</f>
        <v>408</v>
      </c>
      <c r="W19" s="500">
        <f>ROUND(I19*W$8,0)</f>
        <v>480</v>
      </c>
      <c r="X19" s="500">
        <f>ROUND(I19*X$8,0)</f>
        <v>552</v>
      </c>
      <c r="AB19" t="s">
        <v>788</v>
      </c>
      <c r="AD19" s="447">
        <f>ROUND($AT$19*AD18,0)</f>
        <v>116</v>
      </c>
      <c r="AE19" s="447">
        <f>ROUND($AT$19*AE18,0)</f>
        <v>137</v>
      </c>
      <c r="AF19" s="447">
        <f t="shared" ref="AF19:AN19" si="8">ROUND($AT$19*AF18,0)</f>
        <v>189</v>
      </c>
      <c r="AG19" s="447">
        <f t="shared" si="8"/>
        <v>213</v>
      </c>
      <c r="AH19" s="447">
        <f t="shared" si="8"/>
        <v>219</v>
      </c>
      <c r="AI19" s="447"/>
      <c r="AJ19" s="447">
        <f t="shared" si="8"/>
        <v>267</v>
      </c>
      <c r="AK19" s="447">
        <f t="shared" si="8"/>
        <v>378</v>
      </c>
      <c r="AL19" s="447">
        <f t="shared" si="8"/>
        <v>318</v>
      </c>
      <c r="AM19" s="447">
        <f t="shared" si="8"/>
        <v>320</v>
      </c>
      <c r="AN19" s="447">
        <f t="shared" si="8"/>
        <v>340</v>
      </c>
      <c r="AO19" s="791" t="s">
        <v>794</v>
      </c>
      <c r="AP19" s="539"/>
      <c r="AQ19" s="539"/>
      <c r="AR19" s="539"/>
      <c r="AS19" s="539"/>
      <c r="AT19" s="791">
        <v>0.61</v>
      </c>
      <c r="AU19" s="539" t="s">
        <v>791</v>
      </c>
      <c r="AV19" s="539"/>
      <c r="AW19" s="539"/>
    </row>
    <row r="20" spans="2:49" x14ac:dyDescent="0.2">
      <c r="B20" t="s">
        <v>790</v>
      </c>
      <c r="C20" s="438"/>
      <c r="D20" s="523">
        <f>ROUND($D$2*AD20*$T$2*$D$31,0)</f>
        <v>153</v>
      </c>
      <c r="E20" s="524">
        <f>ROUND($D$2*AE20*$T$2,0)</f>
        <v>149</v>
      </c>
      <c r="F20" s="500">
        <f>ROUND(E20*$F$8,0)</f>
        <v>159</v>
      </c>
      <c r="G20" s="524">
        <f>ROUND($D$2*AF20*$T$2,0)</f>
        <v>207</v>
      </c>
      <c r="H20" s="790"/>
      <c r="I20" s="525">
        <f>ROUND($D$2*AG20*$T$2,0)</f>
        <v>232</v>
      </c>
      <c r="J20" s="412"/>
      <c r="K20" s="412"/>
      <c r="L20" s="412"/>
      <c r="M20" s="524">
        <f>ROUND($D$2*AN20*$T$2,0)</f>
        <v>371</v>
      </c>
      <c r="O20" s="500">
        <f>ROUND(I20*O$8,0)</f>
        <v>240</v>
      </c>
      <c r="P20" s="524">
        <f>ROUND($D$2*AH20*$T$2,0)</f>
        <v>239</v>
      </c>
      <c r="Q20" s="500">
        <f>ROUND(I20*Q$8,0)</f>
        <v>307</v>
      </c>
      <c r="R20" s="524">
        <f t="shared" si="7"/>
        <v>291</v>
      </c>
      <c r="S20" s="524">
        <f t="shared" si="7"/>
        <v>412</v>
      </c>
      <c r="T20" s="524">
        <f>ROUND($D$2*AM20*$T$2,0)</f>
        <v>349</v>
      </c>
      <c r="V20" s="524">
        <f>ROUND($D$2*AL20*$T$2,0)</f>
        <v>347</v>
      </c>
      <c r="W20" s="500">
        <f>ROUND(I20*W$8,0)</f>
        <v>408</v>
      </c>
      <c r="X20" s="500">
        <f>ROUND(I20*X$8,0)</f>
        <v>469</v>
      </c>
      <c r="AB20" t="s">
        <v>790</v>
      </c>
      <c r="AD20" s="447">
        <f>ROUND($AT$20*AD19,0)</f>
        <v>99</v>
      </c>
      <c r="AE20" s="447">
        <f>ROUND($AT$20*AE19,0)</f>
        <v>116</v>
      </c>
      <c r="AF20" s="447">
        <f t="shared" ref="AF20:AN20" si="9">ROUND($AT$20*AF19,0)</f>
        <v>161</v>
      </c>
      <c r="AG20" s="447">
        <f t="shared" si="9"/>
        <v>181</v>
      </c>
      <c r="AH20" s="447">
        <f t="shared" si="9"/>
        <v>186</v>
      </c>
      <c r="AI20" s="447"/>
      <c r="AJ20" s="447">
        <f t="shared" si="9"/>
        <v>227</v>
      </c>
      <c r="AK20" s="447">
        <f t="shared" si="9"/>
        <v>321</v>
      </c>
      <c r="AL20" s="447">
        <f t="shared" si="9"/>
        <v>270</v>
      </c>
      <c r="AM20" s="447">
        <f t="shared" si="9"/>
        <v>272</v>
      </c>
      <c r="AN20" s="447">
        <f t="shared" si="9"/>
        <v>289</v>
      </c>
      <c r="AO20" s="791" t="s">
        <v>793</v>
      </c>
      <c r="AP20" s="539"/>
      <c r="AQ20" s="539"/>
      <c r="AR20" s="539"/>
      <c r="AS20" s="539"/>
      <c r="AT20" s="791">
        <v>0.85</v>
      </c>
      <c r="AU20" s="539" t="s">
        <v>792</v>
      </c>
      <c r="AV20" s="539"/>
      <c r="AW20" s="539"/>
    </row>
    <row r="21" spans="2:49" x14ac:dyDescent="0.2">
      <c r="C21" s="438"/>
      <c r="D21" s="526"/>
      <c r="E21" s="526"/>
      <c r="F21" s="17"/>
      <c r="G21" s="526"/>
      <c r="H21" s="790"/>
      <c r="I21" s="525"/>
      <c r="J21" s="412"/>
      <c r="K21" s="412"/>
      <c r="L21" s="412"/>
      <c r="M21" s="526"/>
      <c r="O21" s="500"/>
      <c r="P21" s="526"/>
      <c r="R21" s="524"/>
      <c r="S21" s="524"/>
      <c r="T21" s="526"/>
      <c r="V21" s="526"/>
      <c r="W21" s="17"/>
      <c r="X21" s="17"/>
      <c r="Y21" s="17"/>
      <c r="AD21" s="407"/>
      <c r="AE21" s="17"/>
      <c r="AF21" s="411"/>
      <c r="AG21" s="17"/>
      <c r="AH21" s="411"/>
      <c r="AJ21" s="17"/>
      <c r="AK21" s="411"/>
      <c r="AL21" s="17"/>
      <c r="AM21" s="411"/>
      <c r="AN21" s="17"/>
    </row>
    <row r="22" spans="2:49" x14ac:dyDescent="0.2">
      <c r="B22" t="s">
        <v>304</v>
      </c>
      <c r="C22" s="438"/>
      <c r="D22" s="523">
        <f>ROUND($D$2*AD22*$T$2*$D$31,0)</f>
        <v>80</v>
      </c>
      <c r="E22" s="524">
        <f t="shared" ref="E22:E25" si="10">ROUND($D$2*AE22*$T$2,0)</f>
        <v>60</v>
      </c>
      <c r="F22" s="500">
        <f>ROUND(E22*$F$8,0)</f>
        <v>64</v>
      </c>
      <c r="G22" s="524">
        <f>ROUND($D$2*AF22*$T$2,0)</f>
        <v>167</v>
      </c>
      <c r="H22" s="790"/>
      <c r="I22" s="525">
        <f>ROUND($D$2*AG22*$T$2,0)</f>
        <v>187</v>
      </c>
      <c r="J22" s="412"/>
      <c r="K22" s="412"/>
      <c r="L22" s="412"/>
      <c r="M22" s="524">
        <f>ROUND($D$2*AN22*$T$2,0)</f>
        <v>348</v>
      </c>
      <c r="O22" s="500">
        <f>ROUND(I22*O$8,0)</f>
        <v>194</v>
      </c>
      <c r="P22" s="524">
        <f>ROUND($D$2*AH22*$T$2,0)</f>
        <v>195</v>
      </c>
      <c r="Q22" s="500">
        <f>ROUND(I22*Q$8,0)</f>
        <v>248</v>
      </c>
      <c r="R22" s="524">
        <f t="shared" ref="R22:S25" si="11">ROUND($D$2*AJ22*$T$2,0)</f>
        <v>235</v>
      </c>
      <c r="S22" s="524">
        <f t="shared" si="11"/>
        <v>235</v>
      </c>
      <c r="T22" s="524">
        <f>ROUND($D$2*AM22*$T$2,0)</f>
        <v>295</v>
      </c>
      <c r="V22" s="524">
        <f>ROUND($D$2*AL22*$T$2,0)</f>
        <v>295</v>
      </c>
      <c r="W22" s="500">
        <f>ROUND(I22*W$8,0)</f>
        <v>329</v>
      </c>
      <c r="X22" s="500">
        <f>ROUND(I22*X$8,0)</f>
        <v>378</v>
      </c>
      <c r="Y22" s="500"/>
      <c r="AB22" t="s">
        <v>304</v>
      </c>
      <c r="AD22" s="409">
        <v>52</v>
      </c>
      <c r="AE22" s="501">
        <v>47</v>
      </c>
      <c r="AF22" s="411">
        <v>130</v>
      </c>
      <c r="AG22" s="17">
        <v>146</v>
      </c>
      <c r="AH22" s="411">
        <v>152</v>
      </c>
      <c r="AJ22" s="17">
        <v>183</v>
      </c>
      <c r="AK22" s="411">
        <v>183</v>
      </c>
      <c r="AL22" s="17">
        <v>230</v>
      </c>
      <c r="AM22" s="411">
        <v>230</v>
      </c>
      <c r="AN22" s="17">
        <v>271</v>
      </c>
    </row>
    <row r="23" spans="2:49" x14ac:dyDescent="0.2">
      <c r="B23" t="s">
        <v>305</v>
      </c>
      <c r="C23" s="438"/>
      <c r="D23" s="523">
        <f>ROUND($D$2*AD23*$T$2*$D$31,0)</f>
        <v>97</v>
      </c>
      <c r="E23" s="524">
        <f t="shared" si="10"/>
        <v>81</v>
      </c>
      <c r="F23" s="500">
        <f>ROUND(E23*$F$8,0)</f>
        <v>86</v>
      </c>
      <c r="G23" s="524">
        <f>ROUND($D$2*AF23*$T$2,0)</f>
        <v>208</v>
      </c>
      <c r="H23" s="790"/>
      <c r="I23" s="525">
        <f>ROUND($D$2*AG23*$T$2,0)</f>
        <v>235</v>
      </c>
      <c r="J23" s="412"/>
      <c r="K23" s="412"/>
      <c r="L23" s="412"/>
      <c r="M23" s="524">
        <f>ROUND($D$2*AN23*$T$2,0)</f>
        <v>434</v>
      </c>
      <c r="O23" s="500">
        <f>ROUND(I23*O$8,0)</f>
        <v>243</v>
      </c>
      <c r="P23" s="524">
        <f>ROUND($D$2*AH23*$T$2,0)</f>
        <v>244</v>
      </c>
      <c r="Q23" s="500">
        <f>ROUND(I23*Q$8,0)</f>
        <v>311</v>
      </c>
      <c r="R23" s="524">
        <f t="shared" si="11"/>
        <v>306</v>
      </c>
      <c r="S23" s="524">
        <f t="shared" si="11"/>
        <v>306</v>
      </c>
      <c r="T23" s="524">
        <f>ROUND($D$2*AM23*$T$2,0)</f>
        <v>393</v>
      </c>
      <c r="V23" s="524">
        <f>ROUND($D$2*AL23*$T$2,0)</f>
        <v>393</v>
      </c>
      <c r="W23" s="500">
        <f>ROUND(I23*W$8,0)</f>
        <v>413</v>
      </c>
      <c r="X23" s="500">
        <f>ROUND(I23*X$8,0)</f>
        <v>475</v>
      </c>
      <c r="Y23" s="500"/>
      <c r="AB23" t="s">
        <v>305</v>
      </c>
      <c r="AD23" s="409">
        <v>63</v>
      </c>
      <c r="AE23" s="501">
        <v>63</v>
      </c>
      <c r="AF23" s="411">
        <v>162</v>
      </c>
      <c r="AG23" s="17">
        <v>183</v>
      </c>
      <c r="AH23" s="411">
        <v>190</v>
      </c>
      <c r="AJ23" s="17">
        <v>238</v>
      </c>
      <c r="AK23" s="411">
        <v>238</v>
      </c>
      <c r="AL23" s="17">
        <v>306</v>
      </c>
      <c r="AM23" s="411">
        <v>306</v>
      </c>
      <c r="AN23" s="17">
        <v>338</v>
      </c>
    </row>
    <row r="24" spans="2:49" x14ac:dyDescent="0.2">
      <c r="B24" t="s">
        <v>306</v>
      </c>
      <c r="C24" s="438"/>
      <c r="D24" s="523">
        <f>ROUND($D$2*AD24*$T$2*$D$31,0)</f>
        <v>80</v>
      </c>
      <c r="E24" s="524">
        <f t="shared" si="10"/>
        <v>60</v>
      </c>
      <c r="F24" s="500">
        <f>ROUND(E24*$F$8,0)</f>
        <v>64</v>
      </c>
      <c r="G24" s="524">
        <f>ROUND($D$2*AF24*$T$2,0)</f>
        <v>167</v>
      </c>
      <c r="H24" s="790"/>
      <c r="I24" s="525">
        <f>ROUND($D$2*AG24*$T$2,0)</f>
        <v>187</v>
      </c>
      <c r="J24" s="412"/>
      <c r="K24" s="412"/>
      <c r="L24" s="412"/>
      <c r="M24" s="524">
        <f>ROUND($D$2*AN24*$T$2,0)</f>
        <v>348</v>
      </c>
      <c r="O24" s="500">
        <f>ROUND(I24*O$8,0)</f>
        <v>194</v>
      </c>
      <c r="P24" s="524">
        <f>ROUND($D$2*AH24*$T$2,0)</f>
        <v>195</v>
      </c>
      <c r="Q24" s="500">
        <f>ROUND(I24*Q$8,0)</f>
        <v>248</v>
      </c>
      <c r="R24" s="524">
        <f t="shared" si="11"/>
        <v>235</v>
      </c>
      <c r="S24" s="524">
        <f t="shared" si="11"/>
        <v>235</v>
      </c>
      <c r="T24" s="524">
        <f>ROUND($D$2*AM24*$T$2,0)</f>
        <v>295</v>
      </c>
      <c r="V24" s="524">
        <f>ROUND($D$2*AL24*$T$2,0)</f>
        <v>295</v>
      </c>
      <c r="W24" s="500">
        <f>ROUND(I24*W$8,0)</f>
        <v>329</v>
      </c>
      <c r="X24" s="500">
        <f>ROUND(I24*X$8,0)</f>
        <v>378</v>
      </c>
      <c r="Y24" s="500"/>
      <c r="AB24" t="s">
        <v>306</v>
      </c>
      <c r="AD24" s="409">
        <v>52</v>
      </c>
      <c r="AE24" s="501">
        <v>47</v>
      </c>
      <c r="AF24" s="411">
        <v>130</v>
      </c>
      <c r="AG24" s="17">
        <v>146</v>
      </c>
      <c r="AH24" s="411">
        <v>152</v>
      </c>
      <c r="AJ24" s="17">
        <v>183</v>
      </c>
      <c r="AK24" s="411">
        <v>183</v>
      </c>
      <c r="AL24" s="17">
        <v>230</v>
      </c>
      <c r="AM24" s="411">
        <v>230</v>
      </c>
      <c r="AN24" s="17">
        <v>271</v>
      </c>
    </row>
    <row r="25" spans="2:49" x14ac:dyDescent="0.2">
      <c r="B25" t="s">
        <v>307</v>
      </c>
      <c r="C25" s="438"/>
      <c r="D25" s="523">
        <f>ROUND($D$2*AD25*$T$2*$D$31,0)</f>
        <v>111</v>
      </c>
      <c r="E25" s="524">
        <f t="shared" si="10"/>
        <v>116</v>
      </c>
      <c r="F25" s="500">
        <f>ROUND(E25*$F$8,0)</f>
        <v>124</v>
      </c>
      <c r="G25" s="524">
        <f>ROUND($D$2*AF25*$T$2,0)</f>
        <v>277</v>
      </c>
      <c r="H25" s="790"/>
      <c r="I25" s="525">
        <f>ROUND($D$2*AG25*$T$2,0)</f>
        <v>313</v>
      </c>
      <c r="J25" s="412"/>
      <c r="K25" s="412"/>
      <c r="L25" s="412"/>
      <c r="M25" s="524">
        <f>ROUND($D$2*AN25*$T$2,0)</f>
        <v>582</v>
      </c>
      <c r="O25" s="500">
        <f>ROUND(I25*O$8,0)</f>
        <v>324</v>
      </c>
      <c r="P25" s="524">
        <f>ROUND($D$2*AH25*$T$2,0)</f>
        <v>327</v>
      </c>
      <c r="Q25" s="500">
        <f>ROUND(I25*Q$8,0)</f>
        <v>415</v>
      </c>
      <c r="R25" s="524">
        <f t="shared" si="11"/>
        <v>386</v>
      </c>
      <c r="S25" s="524">
        <f t="shared" si="11"/>
        <v>426</v>
      </c>
      <c r="T25" s="524">
        <f>ROUND($D$2*AM25*$T$2,0)</f>
        <v>538</v>
      </c>
      <c r="V25" s="524">
        <f>ROUND($D$2*AL25*$T$2,0)</f>
        <v>538</v>
      </c>
      <c r="W25" s="500">
        <f>ROUND(I25*W$8,0)</f>
        <v>550</v>
      </c>
      <c r="X25" s="500">
        <f>ROUND(I25*X$8,0)</f>
        <v>633</v>
      </c>
      <c r="Y25" s="500"/>
      <c r="AB25" t="s">
        <v>307</v>
      </c>
      <c r="AD25" s="409">
        <v>72</v>
      </c>
      <c r="AE25" s="501">
        <v>90</v>
      </c>
      <c r="AF25" s="411">
        <v>216</v>
      </c>
      <c r="AG25" s="17">
        <v>244</v>
      </c>
      <c r="AH25" s="411">
        <v>255</v>
      </c>
      <c r="AJ25" s="17">
        <v>301</v>
      </c>
      <c r="AK25" s="411">
        <v>332</v>
      </c>
      <c r="AL25" s="17">
        <v>419</v>
      </c>
      <c r="AM25" s="411">
        <v>419</v>
      </c>
      <c r="AN25" s="17">
        <v>453</v>
      </c>
    </row>
    <row r="26" spans="2:49" x14ac:dyDescent="0.2">
      <c r="C26" s="438"/>
      <c r="D26" s="407"/>
      <c r="E26" s="17"/>
      <c r="F26" s="17"/>
      <c r="G26" s="526"/>
      <c r="H26" s="790"/>
      <c r="I26" s="527"/>
      <c r="J26" s="412"/>
      <c r="K26" s="412"/>
      <c r="L26" s="412"/>
      <c r="M26" s="526"/>
      <c r="O26" s="500"/>
      <c r="P26" s="526"/>
      <c r="R26" s="524"/>
      <c r="S26" s="524"/>
      <c r="T26" s="526"/>
      <c r="V26" s="526"/>
      <c r="W26" s="17"/>
      <c r="X26" s="17"/>
      <c r="Y26" s="17"/>
      <c r="AD26" s="407"/>
      <c r="AE26" s="17"/>
      <c r="AF26" s="411"/>
      <c r="AG26" s="17"/>
      <c r="AH26" s="411"/>
      <c r="AJ26" s="17"/>
      <c r="AK26" s="411"/>
      <c r="AL26" s="17"/>
      <c r="AM26" s="411"/>
      <c r="AN26" s="17"/>
    </row>
    <row r="27" spans="2:49" x14ac:dyDescent="0.2">
      <c r="B27" t="s">
        <v>701</v>
      </c>
      <c r="C27" s="438"/>
      <c r="D27" s="523">
        <f>ROUND(61*$T$2*$D$31,0)</f>
        <v>78</v>
      </c>
      <c r="E27" s="524">
        <f>ROUND($D$2*AE27*$T$2,0)</f>
        <v>73</v>
      </c>
      <c r="F27" s="500">
        <f>ROUND(E27*$F$8,0)</f>
        <v>78</v>
      </c>
      <c r="G27" s="524">
        <f>ROUND($D$2*AF27*$T$2,0)</f>
        <v>195</v>
      </c>
      <c r="H27" s="790"/>
      <c r="I27" s="525">
        <f>ROUND($D$2*AG27*$T$2,0)</f>
        <v>218</v>
      </c>
      <c r="J27" s="412"/>
      <c r="K27" s="412"/>
      <c r="L27" s="412"/>
      <c r="M27" s="524">
        <f>ROUND($D$2*AN27*$T$2,0)</f>
        <v>406</v>
      </c>
      <c r="O27" s="500">
        <f>ROUND(I27*O$8,0)</f>
        <v>226</v>
      </c>
      <c r="P27" s="524">
        <f>ROUND($D$2*AH27*$T$2,0)</f>
        <v>227</v>
      </c>
      <c r="Q27" s="500">
        <f>ROUND(I27*Q$8,0)</f>
        <v>289</v>
      </c>
      <c r="R27" s="524">
        <f>ROUND($D$2*AJ27*$T$2,0)</f>
        <v>281</v>
      </c>
      <c r="S27" s="524">
        <f>ROUND($D$2*AK27*$T$2,0)</f>
        <v>281</v>
      </c>
      <c r="T27" s="524">
        <f>ROUND($D$2*AM27*$T$2,0)</f>
        <v>362</v>
      </c>
      <c r="V27" s="524">
        <f>ROUND($D$2*AL27*$T$2,0)</f>
        <v>362</v>
      </c>
      <c r="W27" s="500">
        <f>ROUND(I27*W$8,0)</f>
        <v>383</v>
      </c>
      <c r="X27" s="500">
        <f>ROUND(I27*X$8,0)</f>
        <v>441</v>
      </c>
      <c r="Y27" s="500"/>
      <c r="AB27" t="s">
        <v>308</v>
      </c>
      <c r="AD27" s="409">
        <v>61</v>
      </c>
      <c r="AE27" s="501">
        <v>57</v>
      </c>
      <c r="AF27" s="411">
        <v>152</v>
      </c>
      <c r="AG27" s="17">
        <v>170</v>
      </c>
      <c r="AH27" s="411">
        <v>177</v>
      </c>
      <c r="AJ27" s="17">
        <v>219</v>
      </c>
      <c r="AK27" s="411">
        <v>219</v>
      </c>
      <c r="AL27" s="17">
        <v>282</v>
      </c>
      <c r="AM27" s="411">
        <v>282</v>
      </c>
      <c r="AN27" s="17">
        <v>316</v>
      </c>
    </row>
    <row r="28" spans="2:49" x14ac:dyDescent="0.2">
      <c r="B28" t="s">
        <v>702</v>
      </c>
      <c r="C28" s="438"/>
      <c r="D28" s="523">
        <f>ROUND($D$2*AD28*$T$2*$D$31,0)</f>
        <v>151</v>
      </c>
      <c r="E28" s="524">
        <f>ROUND($D$2*AE28*$T$2,0)</f>
        <v>140</v>
      </c>
      <c r="F28" s="524">
        <f>ROUND($D$2*AS28*$T$2,0)</f>
        <v>167</v>
      </c>
      <c r="G28" s="524">
        <f>ROUND($D$2*AF28*$T$2,0)</f>
        <v>279</v>
      </c>
      <c r="H28" s="790"/>
      <c r="I28" s="525">
        <f>ROUND($D$2*AG28*$T$2,0)</f>
        <v>277</v>
      </c>
      <c r="J28" s="412"/>
      <c r="K28" s="412"/>
      <c r="L28" s="412"/>
      <c r="M28" s="524">
        <f>ROUND($D$2*AN28*$T$2,0)</f>
        <v>505</v>
      </c>
      <c r="O28" s="524">
        <f>ROUND($D$2*AQ28*$T$2,0)</f>
        <v>291</v>
      </c>
      <c r="P28" s="524">
        <f>ROUND($D$2*AH28*$T$2,0)</f>
        <v>291</v>
      </c>
      <c r="Q28" s="524">
        <f>ROUND($D$2*AR28*$T$2,0)</f>
        <v>362</v>
      </c>
      <c r="R28" s="524">
        <f>ROUND($D$2*AJ28*$T$2,0)</f>
        <v>377</v>
      </c>
      <c r="S28" s="524">
        <f>ROUND($D$2*AK28*$T$2,0)</f>
        <v>377</v>
      </c>
      <c r="T28" s="524">
        <f>ROUND($D$2*AM28*$T$2,0)</f>
        <v>474</v>
      </c>
      <c r="V28" s="524">
        <f>ROUND($D$2*AL28*$T$2,0)</f>
        <v>474</v>
      </c>
      <c r="W28" s="524">
        <f>ROUND($D$2*AP28*$T$2,0)</f>
        <v>514</v>
      </c>
      <c r="X28" s="524">
        <f>ROUND(I28*X$8,0)</f>
        <v>560</v>
      </c>
      <c r="Y28" s="500"/>
      <c r="AD28" s="409">
        <v>98</v>
      </c>
      <c r="AE28" s="501">
        <v>109</v>
      </c>
      <c r="AF28" s="411">
        <v>217</v>
      </c>
      <c r="AG28" s="17">
        <v>216</v>
      </c>
      <c r="AH28" s="411">
        <v>227</v>
      </c>
      <c r="AJ28" s="17">
        <v>294</v>
      </c>
      <c r="AK28" s="411">
        <v>294</v>
      </c>
      <c r="AL28" s="17">
        <v>369</v>
      </c>
      <c r="AM28" s="411">
        <v>369</v>
      </c>
      <c r="AN28" s="17">
        <v>393</v>
      </c>
      <c r="AP28" s="17">
        <v>400</v>
      </c>
      <c r="AQ28" s="17">
        <v>227</v>
      </c>
      <c r="AR28" s="17">
        <v>282</v>
      </c>
      <c r="AS28" s="17">
        <v>130</v>
      </c>
    </row>
    <row r="29" spans="2:49" x14ac:dyDescent="0.2">
      <c r="B29" t="s">
        <v>703</v>
      </c>
      <c r="C29" s="438"/>
      <c r="D29" s="523">
        <f>ROUND(1.25*D28*$D$31,0)</f>
        <v>227</v>
      </c>
      <c r="E29" s="524">
        <f>ROUND(1.25*E28,0)</f>
        <v>175</v>
      </c>
      <c r="F29" s="524">
        <f>ROUND(1.25*F28,0)</f>
        <v>209</v>
      </c>
      <c r="G29" s="524">
        <f>ROUND(1.25*G28,0)</f>
        <v>349</v>
      </c>
      <c r="H29" s="790"/>
      <c r="I29" s="525">
        <f>ROUND(1.25*I28,0)</f>
        <v>346</v>
      </c>
      <c r="J29" s="412"/>
      <c r="K29" s="412"/>
      <c r="L29" s="412"/>
      <c r="M29" s="524">
        <f>ROUND(1.25*M28,0)</f>
        <v>631</v>
      </c>
      <c r="O29" s="524">
        <f t="shared" ref="O29:T29" si="12">ROUND(1.25*O28,0)</f>
        <v>364</v>
      </c>
      <c r="P29" s="524">
        <f t="shared" si="12"/>
        <v>364</v>
      </c>
      <c r="Q29" s="524">
        <f t="shared" si="12"/>
        <v>453</v>
      </c>
      <c r="R29" s="524">
        <f t="shared" si="12"/>
        <v>471</v>
      </c>
      <c r="S29" s="524">
        <f t="shared" si="12"/>
        <v>471</v>
      </c>
      <c r="T29" s="524">
        <f t="shared" si="12"/>
        <v>593</v>
      </c>
      <c r="V29" s="524">
        <f>ROUND(1.25*V28,0)</f>
        <v>593</v>
      </c>
      <c r="W29" s="524">
        <f>ROUND(1.25*W28,0)</f>
        <v>643</v>
      </c>
      <c r="X29" s="524">
        <f>ROUND(I29*X$8,0)</f>
        <v>699</v>
      </c>
      <c r="Y29" s="500"/>
      <c r="AD29" s="409"/>
      <c r="AE29" s="501">
        <v>117</v>
      </c>
      <c r="AF29" s="411"/>
      <c r="AG29" s="17">
        <v>263</v>
      </c>
      <c r="AH29" s="411"/>
      <c r="AJ29" s="17">
        <v>370</v>
      </c>
      <c r="AK29" s="411"/>
      <c r="AL29" s="17"/>
      <c r="AM29" s="411"/>
      <c r="AN29" s="17"/>
      <c r="AP29" s="17"/>
      <c r="AQ29" s="17"/>
      <c r="AR29" s="17"/>
      <c r="AS29" s="17"/>
    </row>
    <row r="30" spans="2:49" x14ac:dyDescent="0.2">
      <c r="B30" t="s">
        <v>704</v>
      </c>
      <c r="C30" s="438"/>
      <c r="D30" s="523">
        <f>ROUND(69*$T$2*$D$31,0)</f>
        <v>89</v>
      </c>
      <c r="E30" s="524">
        <f>ROUND($D$2*AE30*$T$2,0)</f>
        <v>184</v>
      </c>
      <c r="F30" s="500">
        <f>ROUND(E30*$F$8,0)</f>
        <v>196</v>
      </c>
      <c r="G30" s="524">
        <f>ROUND($D$2*AF30*$T$2,0)</f>
        <v>408</v>
      </c>
      <c r="H30" s="790"/>
      <c r="I30" s="525">
        <f>ROUND($D$2*AG30*$T$2,0)</f>
        <v>464</v>
      </c>
      <c r="J30" s="412"/>
      <c r="K30" s="412"/>
      <c r="L30" s="412"/>
      <c r="M30" s="524">
        <f>ROUND($D$2*AN30*$T$2,0)</f>
        <v>865</v>
      </c>
      <c r="O30" s="500">
        <f>ROUND(I30*O$8,0)</f>
        <v>480</v>
      </c>
      <c r="P30" s="524">
        <f>ROUND($D$2*AH30*$T$2,0)</f>
        <v>485</v>
      </c>
      <c r="Q30" s="500">
        <f>ROUND(I30*Q$8,0)</f>
        <v>614</v>
      </c>
      <c r="R30" s="524">
        <f>ROUND($D$2*AJ30*$T$2,0)</f>
        <v>654</v>
      </c>
      <c r="S30" s="524">
        <f>ROUND($D$2*AK30*$T$2,0)</f>
        <v>654</v>
      </c>
      <c r="T30" s="524">
        <f>ROUND($D$2*AM30*$T$2,0)</f>
        <v>845</v>
      </c>
      <c r="V30" s="524">
        <f>ROUND($D$2*AL30*$T$2,0)</f>
        <v>845</v>
      </c>
      <c r="W30" s="500">
        <f>ROUND(I30*W$8,0)</f>
        <v>815</v>
      </c>
      <c r="X30" s="500">
        <f>ROUND(I30*X$8,0)</f>
        <v>938</v>
      </c>
      <c r="Y30" s="500"/>
      <c r="AB30" t="s">
        <v>298</v>
      </c>
      <c r="AD30" s="409">
        <v>69</v>
      </c>
      <c r="AE30" s="501">
        <v>143</v>
      </c>
      <c r="AF30" s="411">
        <v>318</v>
      </c>
      <c r="AG30" s="17">
        <v>361</v>
      </c>
      <c r="AH30" s="411">
        <v>378</v>
      </c>
      <c r="AJ30" s="17">
        <v>509</v>
      </c>
      <c r="AK30" s="411">
        <v>509</v>
      </c>
      <c r="AL30" s="17">
        <v>658</v>
      </c>
      <c r="AM30" s="411">
        <v>658</v>
      </c>
      <c r="AN30" s="17">
        <v>674</v>
      </c>
    </row>
    <row r="31" spans="2:49" x14ac:dyDescent="0.2">
      <c r="B31" s="785" t="s">
        <v>785</v>
      </c>
      <c r="D31" s="787">
        <v>1.2</v>
      </c>
    </row>
    <row r="32" spans="2:49" x14ac:dyDescent="0.2">
      <c r="B32" s="408" t="s">
        <v>291</v>
      </c>
      <c r="AB32" s="408" t="s">
        <v>291</v>
      </c>
    </row>
    <row r="33" spans="2:36" x14ac:dyDescent="0.2">
      <c r="B33" s="202" t="s">
        <v>292</v>
      </c>
      <c r="AB33" s="202" t="s">
        <v>292</v>
      </c>
    </row>
    <row r="35" spans="2:36" x14ac:dyDescent="0.2">
      <c r="D35" s="372" t="s">
        <v>705</v>
      </c>
      <c r="E35" s="17"/>
      <c r="F35" s="17"/>
      <c r="G35" s="528"/>
      <c r="AE35" s="474">
        <f>AE29/AE28</f>
        <v>1.073394495412844</v>
      </c>
      <c r="AF35" s="474"/>
      <c r="AG35" s="474">
        <f>AG29/AG28</f>
        <v>1.2175925925925926</v>
      </c>
      <c r="AH35" s="474"/>
      <c r="AI35" s="474"/>
      <c r="AJ35" s="474">
        <f>AJ29/AJ28</f>
        <v>1.2585034013605443</v>
      </c>
    </row>
    <row r="36" spans="2:36" x14ac:dyDescent="0.2">
      <c r="D36" t="s">
        <v>706</v>
      </c>
    </row>
    <row r="40" spans="2:36" x14ac:dyDescent="0.2">
      <c r="B40" s="509" t="s">
        <v>490</v>
      </c>
      <c r="D40" s="509" t="s">
        <v>491</v>
      </c>
      <c r="G40" s="509" t="s">
        <v>142</v>
      </c>
    </row>
    <row r="41" spans="2:36" x14ac:dyDescent="0.2">
      <c r="B41" s="509"/>
    </row>
    <row r="42" spans="2:36" x14ac:dyDescent="0.2">
      <c r="B42" s="509" t="s">
        <v>492</v>
      </c>
      <c r="D42" s="509" t="s">
        <v>493</v>
      </c>
      <c r="G42" s="509" t="s">
        <v>494</v>
      </c>
    </row>
    <row r="43" spans="2:36" x14ac:dyDescent="0.2">
      <c r="B43" s="509"/>
    </row>
    <row r="44" spans="2:36" x14ac:dyDescent="0.2">
      <c r="B44" s="509" t="s">
        <v>495</v>
      </c>
      <c r="D44" s="509" t="s">
        <v>496</v>
      </c>
      <c r="G44" s="511" t="s">
        <v>678</v>
      </c>
    </row>
    <row r="45" spans="2:36" x14ac:dyDescent="0.2">
      <c r="B45" s="509"/>
    </row>
    <row r="46" spans="2:36" x14ac:dyDescent="0.2">
      <c r="B46" s="509" t="s">
        <v>497</v>
      </c>
      <c r="D46" s="509" t="s">
        <v>498</v>
      </c>
      <c r="G46" s="511" t="s">
        <v>679</v>
      </c>
    </row>
    <row r="47" spans="2:36" x14ac:dyDescent="0.2">
      <c r="B47" s="509"/>
    </row>
    <row r="48" spans="2:36" x14ac:dyDescent="0.2">
      <c r="B48" s="509" t="s">
        <v>499</v>
      </c>
      <c r="D48" s="509" t="s">
        <v>500</v>
      </c>
      <c r="G48" s="509" t="s">
        <v>501</v>
      </c>
    </row>
    <row r="49" spans="2:7" x14ac:dyDescent="0.2">
      <c r="B49" s="509"/>
    </row>
    <row r="50" spans="2:7" x14ac:dyDescent="0.2">
      <c r="B50" s="509" t="s">
        <v>502</v>
      </c>
      <c r="D50" s="509" t="s">
        <v>503</v>
      </c>
      <c r="G50" s="509" t="s">
        <v>501</v>
      </c>
    </row>
    <row r="51" spans="2:7" x14ac:dyDescent="0.2">
      <c r="B51" s="509"/>
    </row>
    <row r="52" spans="2:7" x14ac:dyDescent="0.2">
      <c r="B52" s="509" t="s">
        <v>504</v>
      </c>
      <c r="D52" s="509" t="s">
        <v>505</v>
      </c>
      <c r="G52" s="509" t="s">
        <v>501</v>
      </c>
    </row>
    <row r="53" spans="2:7" x14ac:dyDescent="0.2">
      <c r="B53" s="509"/>
    </row>
    <row r="54" spans="2:7" x14ac:dyDescent="0.2">
      <c r="B54" s="509" t="s">
        <v>506</v>
      </c>
      <c r="D54" s="509" t="s">
        <v>507</v>
      </c>
      <c r="G54" s="509" t="s">
        <v>501</v>
      </c>
    </row>
    <row r="55" spans="2:7" x14ac:dyDescent="0.2">
      <c r="B55" s="509"/>
    </row>
    <row r="56" spans="2:7" x14ac:dyDescent="0.2">
      <c r="B56" s="509" t="s">
        <v>508</v>
      </c>
      <c r="D56" s="509" t="s">
        <v>509</v>
      </c>
      <c r="G56" s="509" t="s">
        <v>501</v>
      </c>
    </row>
    <row r="57" spans="2:7" x14ac:dyDescent="0.2">
      <c r="B57" s="509"/>
    </row>
    <row r="58" spans="2:7" x14ac:dyDescent="0.2">
      <c r="B58" s="509"/>
    </row>
    <row r="59" spans="2:7" x14ac:dyDescent="0.2">
      <c r="B59" s="509" t="s">
        <v>510</v>
      </c>
      <c r="D59" s="509" t="s">
        <v>511</v>
      </c>
      <c r="G59" s="509" t="s">
        <v>512</v>
      </c>
    </row>
  </sheetData>
  <sheetProtection algorithmName="SHA-512" hashValue="Ek/+z35FO676i36Z2w0gLByrtNQTb5tmesMEmAAKjH4Gz+cDFKXMspm6IGEY+lShdO9Mgp2nDtJYm7W4qLPLng==" saltValue="rEwAZVlPvP7x8/xIu5VC9Q==" spinCount="100000" sheet="1" objects="1" scenarios="1" selectLockedCells="1"/>
  <mergeCells count="3">
    <mergeCell ref="D3:G3"/>
    <mergeCell ref="I3:M3"/>
    <mergeCell ref="O3:T3"/>
  </mergeCells>
  <pageMargins left="0.25" right="0.25" top="0.75" bottom="0.75" header="0.3" footer="0.3"/>
  <pageSetup scale="53" fitToHeight="2" orientation="landscape" horizontalDpi="0" verticalDpi="0"/>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theme="1" tint="0.34998626667073579"/>
  </sheetPr>
  <dimension ref="A1:E1"/>
  <sheetViews>
    <sheetView zoomScaleNormal="100" workbookViewId="0"/>
  </sheetViews>
  <sheetFormatPr baseColWidth="10" defaultColWidth="8.6640625" defaultRowHeight="16" x14ac:dyDescent="0.2"/>
  <cols>
    <col min="3" max="3" width="10.1640625" bestFit="1" customWidth="1"/>
  </cols>
  <sheetData>
    <row r="1" spans="1:5" x14ac:dyDescent="0.2">
      <c r="A1" t="s">
        <v>121</v>
      </c>
      <c r="B1" t="s">
        <v>122</v>
      </c>
      <c r="C1" t="s">
        <v>0</v>
      </c>
      <c r="D1" t="s">
        <v>123</v>
      </c>
      <c r="E1" t="s">
        <v>124</v>
      </c>
    </row>
  </sheetData>
  <sheetProtection algorithmName="SHA-512" hashValue="32BGZaOpAx46AjdqM7XyI/FzZ8kD4ZvbzCcY4B3MrDaEmzp3UUuESFgZ+7otYdDRBo1kw7CUwhAfRdaJBxdd1w==" saltValue="khd5nzsB3XWf05bhNaeNEQ==" spinCount="100000" sheet="1" objects="1" scenarios="1" selectLockedCells="1"/>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theme="1" tint="0.34998626667073579"/>
  </sheetPr>
  <dimension ref="A1:AR117"/>
  <sheetViews>
    <sheetView showGridLines="0" zoomScale="140" zoomScaleNormal="140" workbookViewId="0">
      <selection activeCell="Q1" sqref="Q1:R1"/>
    </sheetView>
  </sheetViews>
  <sheetFormatPr baseColWidth="10" defaultColWidth="8.6640625" defaultRowHeight="16" x14ac:dyDescent="0.2"/>
  <cols>
    <col min="1" max="1" width="0.6640625" style="46" customWidth="1"/>
    <col min="2" max="4" width="3.5" style="46" customWidth="1"/>
    <col min="5" max="5" width="6.6640625" style="46" customWidth="1"/>
    <col min="6" max="6" width="3.5" style="46" customWidth="1"/>
    <col min="7" max="7" width="8.6640625" style="46" customWidth="1"/>
    <col min="8" max="8" width="1.1640625" style="46" customWidth="1"/>
    <col min="9" max="9" width="3.5" style="46" customWidth="1"/>
    <col min="10" max="10" width="11.1640625" style="46" customWidth="1"/>
    <col min="11" max="11" width="3.5" style="46" customWidth="1"/>
    <col min="12" max="12" width="11.1640625" style="46" customWidth="1"/>
    <col min="13" max="13" width="1.1640625" style="46" customWidth="1"/>
    <col min="14" max="14" width="7.6640625" style="46" customWidth="1"/>
    <col min="15" max="15" width="2.6640625" style="46" customWidth="1"/>
    <col min="16" max="16" width="5.1640625" style="46" customWidth="1"/>
    <col min="17" max="17" width="7.5" style="46" customWidth="1"/>
    <col min="18" max="18" width="9.5" style="46" customWidth="1"/>
    <col min="19" max="20" width="0.6640625" customWidth="1"/>
    <col min="21" max="23" width="3.5" customWidth="1"/>
    <col min="24" max="24" width="6.6640625" customWidth="1"/>
    <col min="25" max="25" width="3.5" customWidth="1"/>
    <col min="26" max="26" width="8.6640625" customWidth="1"/>
    <col min="27" max="27" width="1.1640625" customWidth="1"/>
    <col min="28" max="28" width="3.5" customWidth="1"/>
    <col min="29" max="29" width="11.1640625" customWidth="1"/>
    <col min="30" max="30" width="3.5" customWidth="1"/>
    <col min="31" max="31" width="11.1640625" customWidth="1"/>
    <col min="32" max="32" width="1.1640625" customWidth="1"/>
    <col min="33" max="33" width="7.6640625" customWidth="1"/>
    <col min="34" max="34" width="2.6640625" customWidth="1"/>
    <col min="35" max="35" width="5.1640625" customWidth="1"/>
    <col min="36" max="36" width="7.5" customWidth="1"/>
    <col min="37" max="37" width="9.5" customWidth="1"/>
    <col min="38" max="38" width="0.6640625" customWidth="1"/>
  </cols>
  <sheetData>
    <row r="1" spans="1:37" ht="20" x14ac:dyDescent="0.2">
      <c r="N1" s="48"/>
      <c r="P1" s="81" t="str">
        <f>IF(Francais,"FACTURE #","INVOICE #")</f>
        <v>FACTURE #</v>
      </c>
      <c r="Q1" s="865"/>
      <c r="R1" s="865"/>
      <c r="T1" s="46"/>
      <c r="U1" s="46"/>
      <c r="V1" s="46"/>
      <c r="W1" s="46"/>
      <c r="X1" s="46"/>
      <c r="Y1" s="46"/>
      <c r="Z1" s="46"/>
      <c r="AA1" s="46"/>
      <c r="AB1" s="46"/>
      <c r="AC1" s="46"/>
      <c r="AD1" s="46"/>
      <c r="AE1" s="46"/>
      <c r="AF1" s="46"/>
      <c r="AG1" s="48"/>
      <c r="AH1" s="46"/>
      <c r="AI1" s="81" t="str">
        <f>P1</f>
        <v>FACTURE #</v>
      </c>
      <c r="AJ1" s="866"/>
      <c r="AK1" s="866"/>
    </row>
    <row r="2" spans="1:37" ht="12" customHeight="1" x14ac:dyDescent="0.2">
      <c r="M2" s="821" t="s">
        <v>16</v>
      </c>
      <c r="N2" s="821"/>
      <c r="O2" s="821"/>
      <c r="P2" s="821"/>
      <c r="Q2" s="856" t="str">
        <f>TEXT("4/7/2026",IF(Francais,"[$-0C0C]d mmmm yyyy","[$-1009]mmmm d, yyyy"))</f>
        <v>4/7/2026</v>
      </c>
      <c r="R2" s="856"/>
      <c r="T2" s="46"/>
      <c r="U2" s="46"/>
      <c r="V2" s="46"/>
      <c r="W2" s="46"/>
      <c r="X2" s="46"/>
      <c r="Y2" s="46"/>
      <c r="Z2" s="46"/>
      <c r="AA2" s="46"/>
      <c r="AB2" s="46"/>
      <c r="AC2" s="46"/>
      <c r="AD2" s="46"/>
      <c r="AE2" s="46"/>
      <c r="AF2" s="821" t="str">
        <f>M2</f>
        <v>Date</v>
      </c>
      <c r="AG2" s="821"/>
      <c r="AH2" s="821"/>
      <c r="AI2" s="821"/>
      <c r="AJ2" s="856" t="str">
        <f>Q2</f>
        <v>4/7/2026</v>
      </c>
      <c r="AK2" s="856"/>
    </row>
    <row r="3" spans="1:37" ht="12" customHeight="1" x14ac:dyDescent="0.2">
      <c r="B3" s="53"/>
      <c r="C3" s="53"/>
      <c r="D3" s="53"/>
      <c r="J3" s="342" t="str">
        <f>IF(Distributeurs_Rabais,IF(Francais,"Prix","Distributor"),"")</f>
        <v/>
      </c>
      <c r="M3" s="821"/>
      <c r="N3" s="821"/>
      <c r="O3" s="821"/>
      <c r="P3" s="821"/>
      <c r="Q3" s="857"/>
      <c r="R3" s="857"/>
      <c r="T3" s="46"/>
      <c r="U3" s="53"/>
      <c r="V3" s="53"/>
      <c r="W3" s="53"/>
      <c r="X3" s="46"/>
      <c r="Y3" s="46"/>
      <c r="Z3" s="46"/>
      <c r="AA3" s="46"/>
      <c r="AB3" s="46"/>
      <c r="AC3" s="342" t="str">
        <f>IF(Distributeurs_Rabais,IF(Francais,"Prix","Distributor"),"")</f>
        <v/>
      </c>
      <c r="AD3" s="46"/>
      <c r="AE3" s="46"/>
      <c r="AF3" s="821"/>
      <c r="AG3" s="821"/>
      <c r="AH3" s="821"/>
      <c r="AI3" s="821"/>
      <c r="AJ3" s="858" t="str">
        <f>IF(ISBLANK(Q3),"",Q3)</f>
        <v/>
      </c>
      <c r="AK3" s="858"/>
    </row>
    <row r="4" spans="1:37" ht="12" customHeight="1" x14ac:dyDescent="0.2">
      <c r="B4" s="54"/>
      <c r="C4" s="54"/>
      <c r="D4" s="54"/>
      <c r="J4" s="342" t="str">
        <f>IF(Distributeurs_Rabais,IF(Francais,"Distributeur","Prices"),"")</f>
        <v/>
      </c>
      <c r="M4" s="821" t="str">
        <f>IF(Francais,"Terme","Payment Terms")</f>
        <v>Terme</v>
      </c>
      <c r="N4" s="821"/>
      <c r="O4" s="821"/>
      <c r="P4" s="821"/>
      <c r="Q4" s="859" t="str">
        <f>Quote!$P$4</f>
        <v>Payable d'avance</v>
      </c>
      <c r="R4" s="859"/>
      <c r="T4" s="46"/>
      <c r="U4" s="54"/>
      <c r="V4" s="54"/>
      <c r="W4" s="54"/>
      <c r="X4" s="46"/>
      <c r="Y4" s="46"/>
      <c r="Z4" s="46"/>
      <c r="AA4" s="46"/>
      <c r="AB4" s="46"/>
      <c r="AC4" s="342" t="str">
        <f>IF(Distributeurs_Rabais,IF(Francais,"Distributeur","Prices"),"")</f>
        <v/>
      </c>
      <c r="AD4" s="46"/>
      <c r="AE4" s="46"/>
      <c r="AF4" s="821" t="str">
        <f>M4</f>
        <v>Terme</v>
      </c>
      <c r="AG4" s="821"/>
      <c r="AH4" s="821"/>
      <c r="AI4" s="821"/>
      <c r="AJ4" s="855" t="str">
        <f>Q4</f>
        <v>Payable d'avance</v>
      </c>
      <c r="AK4" s="855"/>
    </row>
    <row r="5" spans="1:37" ht="12" customHeight="1" x14ac:dyDescent="0.2">
      <c r="B5" s="54"/>
      <c r="C5" s="54"/>
      <c r="D5" s="54"/>
      <c r="I5"/>
      <c r="J5"/>
      <c r="K5" s="841"/>
      <c r="L5" s="841"/>
      <c r="M5" s="821" t="str">
        <f>IF(Francais,"# Client","Customer #")</f>
        <v># Client</v>
      </c>
      <c r="N5" s="821"/>
      <c r="O5" s="821"/>
      <c r="P5" s="821"/>
      <c r="Q5" s="858" t="str">
        <f>IF(ISBLANK(Quote!$P$5),"",Quote!$P$5)</f>
        <v/>
      </c>
      <c r="R5" s="858"/>
      <c r="T5" s="46"/>
      <c r="U5" s="54"/>
      <c r="V5" s="54"/>
      <c r="W5" s="54"/>
      <c r="X5" s="46"/>
      <c r="Y5" s="46"/>
      <c r="Z5" s="46"/>
      <c r="AA5" s="46"/>
      <c r="AB5" s="46"/>
      <c r="AD5" s="46"/>
      <c r="AE5" s="46"/>
      <c r="AF5" s="821" t="str">
        <f>M5</f>
        <v># Client</v>
      </c>
      <c r="AG5" s="821"/>
      <c r="AH5" s="821"/>
      <c r="AI5" s="821"/>
      <c r="AJ5" s="855" t="str">
        <f>Q5</f>
        <v/>
      </c>
      <c r="AK5" s="855"/>
    </row>
    <row r="6" spans="1:37" ht="12" customHeight="1" x14ac:dyDescent="0.2">
      <c r="I6"/>
      <c r="J6"/>
      <c r="K6"/>
      <c r="L6"/>
      <c r="M6" s="821" t="str">
        <f>IF(Francais,"# PO","PO #")</f>
        <v># PO</v>
      </c>
      <c r="N6" s="821"/>
      <c r="O6" s="821"/>
      <c r="P6" s="821"/>
      <c r="Q6" s="857"/>
      <c r="R6" s="857"/>
      <c r="T6" s="46"/>
      <c r="U6" s="46"/>
      <c r="V6" s="46"/>
      <c r="W6" s="46"/>
      <c r="X6" s="46"/>
      <c r="Y6" s="46"/>
      <c r="Z6" s="46"/>
      <c r="AA6" s="46"/>
      <c r="AB6" s="46"/>
      <c r="AC6" s="46"/>
      <c r="AD6" s="46"/>
      <c r="AE6" s="46"/>
      <c r="AF6" s="821" t="str">
        <f>IF(Francais,"# PO","PO #")</f>
        <v># PO</v>
      </c>
      <c r="AG6" s="821"/>
      <c r="AH6" s="821"/>
      <c r="AI6" s="821"/>
      <c r="AJ6" s="858" t="str">
        <f>IF(ISBLANK(Q6),"",Q6)</f>
        <v/>
      </c>
      <c r="AK6" s="858"/>
    </row>
    <row r="7" spans="1:37" ht="12" customHeight="1" x14ac:dyDescent="0.2">
      <c r="B7" s="55"/>
      <c r="C7" s="55"/>
      <c r="D7" s="55"/>
      <c r="I7" s="841" t="str">
        <f>REPT(" ",4) &amp; IF(NOT(Francais),"Split in 2 Invoices","Séparer en 2 factures")</f>
        <v xml:space="preserve">    Séparer en 2 factures</v>
      </c>
      <c r="J7" s="841"/>
      <c r="K7" s="841" t="str">
        <f>REPT(" ",4) &amp; IF(NOT(Francais),"Internet Download","Téléchargement")</f>
        <v xml:space="preserve">    Téléchargement</v>
      </c>
      <c r="L7" s="841"/>
      <c r="M7" s="821" t="str">
        <f>IF(Francais,"Courriel Utilisateur:","End User Email:")</f>
        <v>Courriel Utilisateur:</v>
      </c>
      <c r="N7" s="821"/>
      <c r="O7" s="821"/>
      <c r="P7" s="834" t="str">
        <f>IF(ISBLANK(Home!$B$28),"",Home!$B$28)</f>
        <v/>
      </c>
      <c r="Q7" s="834"/>
      <c r="R7" s="834"/>
      <c r="T7" s="46"/>
      <c r="U7" s="55"/>
      <c r="V7" s="55"/>
      <c r="W7" s="55"/>
      <c r="X7" s="46"/>
      <c r="Y7" s="46"/>
      <c r="Z7" s="46"/>
      <c r="AA7" s="46"/>
      <c r="AB7" s="46"/>
      <c r="AC7" s="46"/>
      <c r="AD7" s="46"/>
      <c r="AE7" s="46"/>
      <c r="AF7" s="821" t="str">
        <f>IF(Francais,"Courriel Utilisateur:","End User Email:")</f>
        <v>Courriel Utilisateur:</v>
      </c>
      <c r="AG7" s="821"/>
      <c r="AH7" s="821"/>
      <c r="AI7" s="834" t="str">
        <f>IF(ISBLANK(P7),"",P7)</f>
        <v/>
      </c>
      <c r="AJ7" s="834"/>
      <c r="AK7" s="834"/>
    </row>
    <row r="8" spans="1:37" ht="3.5" customHeight="1" x14ac:dyDescent="0.2">
      <c r="T8" s="46"/>
      <c r="U8" s="46"/>
      <c r="V8" s="46"/>
      <c r="W8" s="46"/>
      <c r="X8" s="46"/>
      <c r="Y8" s="46"/>
      <c r="Z8" s="46"/>
      <c r="AA8" s="46"/>
      <c r="AB8" s="46"/>
      <c r="AC8" s="46"/>
      <c r="AD8" s="46"/>
      <c r="AE8" s="46"/>
      <c r="AF8" s="46"/>
      <c r="AG8" s="46"/>
      <c r="AH8" s="46"/>
      <c r="AI8" s="46"/>
      <c r="AJ8" s="46"/>
      <c r="AK8" s="46"/>
    </row>
    <row r="9" spans="1:37" s="3" customFormat="1" ht="3.5" customHeight="1" x14ac:dyDescent="0.15">
      <c r="A9" s="56"/>
      <c r="B9" s="828" t="str">
        <f>IF(Francais," FACTURATION:"," BILL TO:")</f>
        <v xml:space="preserve"> FACTURATION:</v>
      </c>
      <c r="C9" s="828"/>
      <c r="D9" s="828"/>
      <c r="E9" s="828"/>
      <c r="F9" s="828"/>
      <c r="G9" s="828"/>
      <c r="H9" s="122"/>
      <c r="I9" s="828" t="str">
        <f>IF(Francais," LIVRAISON:"," SHIP TO:")</f>
        <v xml:space="preserve"> LIVRAISON:</v>
      </c>
      <c r="J9" s="828"/>
      <c r="K9" s="828"/>
      <c r="L9" s="828"/>
      <c r="M9" s="116"/>
      <c r="N9" s="828" t="str">
        <f>IF(Francais," DÉTAILS D'EXPÉDITION:"," SHIPPING DETAILS:")</f>
        <v xml:space="preserve"> DÉTAILS D'EXPÉDITION:</v>
      </c>
      <c r="O9" s="828"/>
      <c r="P9" s="828"/>
      <c r="Q9" s="828"/>
      <c r="R9" s="828"/>
      <c r="T9" s="56"/>
      <c r="U9" s="828" t="str">
        <f>B9</f>
        <v xml:space="preserve"> FACTURATION:</v>
      </c>
      <c r="V9" s="828"/>
      <c r="W9" s="828"/>
      <c r="X9" s="828"/>
      <c r="Y9" s="828"/>
      <c r="Z9" s="828"/>
      <c r="AA9" s="122"/>
      <c r="AB9" s="828" t="str">
        <f>I9</f>
        <v xml:space="preserve"> LIVRAISON:</v>
      </c>
      <c r="AC9" s="828"/>
      <c r="AD9" s="828"/>
      <c r="AE9" s="828"/>
      <c r="AF9" s="116"/>
      <c r="AG9" s="828" t="str">
        <f>N9</f>
        <v xml:space="preserve"> DÉTAILS D'EXPÉDITION:</v>
      </c>
      <c r="AH9" s="828"/>
      <c r="AI9" s="828"/>
      <c r="AJ9" s="828"/>
      <c r="AK9" s="828"/>
    </row>
    <row r="10" spans="1:37" s="3" customFormat="1" x14ac:dyDescent="0.15">
      <c r="A10" s="56"/>
      <c r="B10" s="828"/>
      <c r="C10" s="828"/>
      <c r="D10" s="828"/>
      <c r="E10" s="828"/>
      <c r="F10" s="828"/>
      <c r="G10" s="828"/>
      <c r="H10" s="122"/>
      <c r="I10" s="828"/>
      <c r="J10" s="828"/>
      <c r="K10" s="828"/>
      <c r="L10" s="828"/>
      <c r="M10" s="116"/>
      <c r="N10" s="828"/>
      <c r="O10" s="828"/>
      <c r="P10" s="828"/>
      <c r="Q10" s="828"/>
      <c r="R10" s="828"/>
      <c r="T10" s="56"/>
      <c r="U10" s="828"/>
      <c r="V10" s="828"/>
      <c r="W10" s="828"/>
      <c r="X10" s="828"/>
      <c r="Y10" s="828"/>
      <c r="Z10" s="828"/>
      <c r="AA10" s="122"/>
      <c r="AB10" s="828"/>
      <c r="AC10" s="828"/>
      <c r="AD10" s="828"/>
      <c r="AE10" s="828"/>
      <c r="AF10" s="116"/>
      <c r="AG10" s="828"/>
      <c r="AH10" s="828"/>
      <c r="AI10" s="828"/>
      <c r="AJ10" s="828"/>
      <c r="AK10" s="828"/>
    </row>
    <row r="11" spans="1:37" s="3" customFormat="1" ht="3.5" customHeight="1" x14ac:dyDescent="0.15">
      <c r="A11" s="56"/>
      <c r="B11" s="117"/>
      <c r="C11" s="117"/>
      <c r="D11" s="117"/>
      <c r="E11" s="118"/>
      <c r="F11" s="118"/>
      <c r="G11" s="118"/>
      <c r="H11" s="122"/>
      <c r="I11" s="117"/>
      <c r="J11" s="116"/>
      <c r="K11" s="116"/>
      <c r="L11" s="116"/>
      <c r="M11" s="116"/>
      <c r="N11" s="117"/>
      <c r="O11" s="118"/>
      <c r="P11" s="118"/>
      <c r="Q11" s="116"/>
      <c r="R11" s="116"/>
      <c r="T11" s="56"/>
      <c r="U11" s="117"/>
      <c r="V11" s="117"/>
      <c r="W11" s="117"/>
      <c r="X11" s="118"/>
      <c r="Y11" s="118"/>
      <c r="Z11" s="118"/>
      <c r="AA11" s="122"/>
      <c r="AB11" s="117"/>
      <c r="AC11" s="116"/>
      <c r="AD11" s="116"/>
      <c r="AE11" s="116"/>
      <c r="AF11" s="116"/>
      <c r="AG11" s="117"/>
      <c r="AH11" s="118"/>
      <c r="AI11" s="118"/>
      <c r="AJ11" s="116"/>
      <c r="AK11" s="116"/>
    </row>
    <row r="12" spans="1:37" ht="11.25" customHeight="1" x14ac:dyDescent="0.2">
      <c r="B12" s="826" t="str">
        <f>IF(ISBLANK(Home!B10),"",Home!B10)</f>
        <v/>
      </c>
      <c r="C12" s="826"/>
      <c r="D12" s="826"/>
      <c r="E12" s="826"/>
      <c r="F12" s="826"/>
      <c r="G12" s="826"/>
      <c r="H12" s="122"/>
      <c r="I12" s="826" t="str">
        <f>IF(ISBLANK(Home!L10),"",Home!L10)</f>
        <v/>
      </c>
      <c r="J12" s="826"/>
      <c r="K12" s="826"/>
      <c r="L12" s="826"/>
      <c r="M12" s="119"/>
      <c r="N12" s="826" t="str">
        <f>IF(Francais,"Transporteur","Ship via")</f>
        <v>Transporteur</v>
      </c>
      <c r="O12" s="826"/>
      <c r="P12" s="826"/>
      <c r="Q12" s="826" t="str">
        <f>IF(ISBLANK(Quote!P12),"",Quote!P12)</f>
        <v>Fedex</v>
      </c>
      <c r="R12" s="826"/>
      <c r="T12" s="46"/>
      <c r="U12" s="826" t="str">
        <f t="shared" ref="U12:U17" si="0">B12</f>
        <v/>
      </c>
      <c r="V12" s="826"/>
      <c r="W12" s="826"/>
      <c r="X12" s="826"/>
      <c r="Y12" s="826"/>
      <c r="Z12" s="826"/>
      <c r="AA12" s="122"/>
      <c r="AB12" s="826" t="str">
        <f t="shared" ref="AB12:AB17" si="1">I12</f>
        <v/>
      </c>
      <c r="AC12" s="826"/>
      <c r="AD12" s="826"/>
      <c r="AE12" s="826"/>
      <c r="AF12" s="119"/>
      <c r="AG12" s="826" t="str">
        <f t="shared" ref="AG12:AG13" si="2">N12</f>
        <v>Transporteur</v>
      </c>
      <c r="AH12" s="826"/>
      <c r="AI12" s="826"/>
      <c r="AJ12" s="826" t="s">
        <v>774</v>
      </c>
      <c r="AK12" s="826"/>
    </row>
    <row r="13" spans="1:37" ht="11.25" customHeight="1" x14ac:dyDescent="0.2">
      <c r="B13" s="826" t="str">
        <f>IF(ISBLANK(Home!B11),"",Home!B11)</f>
        <v/>
      </c>
      <c r="C13" s="826"/>
      <c r="D13" s="826"/>
      <c r="E13" s="826"/>
      <c r="F13" s="826"/>
      <c r="G13" s="826"/>
      <c r="H13" s="122"/>
      <c r="I13" s="826" t="str">
        <f>IF(ISBLANK(Home!L11),"",Home!L11)</f>
        <v/>
      </c>
      <c r="J13" s="826"/>
      <c r="K13" s="826"/>
      <c r="L13" s="826"/>
      <c r="M13" s="119"/>
      <c r="N13" s="826" t="s">
        <v>17</v>
      </c>
      <c r="O13" s="826"/>
      <c r="P13" s="826"/>
      <c r="Q13" s="826" t="str">
        <f>IF(ISBLANK(Quote!P13),"",Quote!P13)</f>
        <v>DAP</v>
      </c>
      <c r="R13" s="826"/>
      <c r="T13" s="46"/>
      <c r="U13" s="826" t="str">
        <f t="shared" si="0"/>
        <v/>
      </c>
      <c r="V13" s="826"/>
      <c r="W13" s="826"/>
      <c r="X13" s="826"/>
      <c r="Y13" s="826"/>
      <c r="Z13" s="826"/>
      <c r="AA13" s="122"/>
      <c r="AB13" s="826" t="str">
        <f t="shared" si="1"/>
        <v/>
      </c>
      <c r="AC13" s="826"/>
      <c r="AD13" s="826"/>
      <c r="AE13" s="826"/>
      <c r="AF13" s="119"/>
      <c r="AG13" s="826" t="str">
        <f t="shared" si="2"/>
        <v>Incoterms</v>
      </c>
      <c r="AH13" s="826"/>
      <c r="AI13" s="826"/>
      <c r="AJ13" s="826" t="s">
        <v>775</v>
      </c>
      <c r="AK13" s="826"/>
    </row>
    <row r="14" spans="1:37" ht="11.25" customHeight="1" x14ac:dyDescent="0.2">
      <c r="B14" s="826" t="str">
        <f>IF(ISBLANK(Home!B12),"",Home!B12)</f>
        <v/>
      </c>
      <c r="C14" s="826"/>
      <c r="D14" s="826"/>
      <c r="E14" s="826"/>
      <c r="F14" s="826"/>
      <c r="G14" s="826"/>
      <c r="H14" s="122"/>
      <c r="I14" s="826" t="str">
        <f>IF(ISBLANK(Home!L12),"",Home!L12)</f>
        <v/>
      </c>
      <c r="J14" s="826"/>
      <c r="K14" s="826"/>
      <c r="L14" s="826"/>
      <c r="M14" s="119"/>
      <c r="N14" s="826" t="str">
        <f>IF(Francais,"Nombre de colis","Total Package(s)")</f>
        <v>Nombre de colis</v>
      </c>
      <c r="O14" s="826"/>
      <c r="P14" s="826"/>
      <c r="Q14" s="826">
        <f>IF(ISBLANK(Quote!P14),"",Quote!P14)</f>
        <v>0</v>
      </c>
      <c r="R14" s="826"/>
      <c r="T14" s="46"/>
      <c r="U14" s="826" t="str">
        <f t="shared" si="0"/>
        <v/>
      </c>
      <c r="V14" s="826"/>
      <c r="W14" s="826"/>
      <c r="X14" s="826"/>
      <c r="Y14" s="826"/>
      <c r="Z14" s="826"/>
      <c r="AA14" s="122"/>
      <c r="AB14" s="826" t="str">
        <f t="shared" si="1"/>
        <v/>
      </c>
      <c r="AC14" s="826"/>
      <c r="AD14" s="826"/>
      <c r="AE14" s="826"/>
      <c r="AF14" s="119"/>
      <c r="AG14" s="826" t="str">
        <f>N14</f>
        <v>Nombre de colis</v>
      </c>
      <c r="AH14" s="826"/>
      <c r="AI14" s="826"/>
      <c r="AJ14" s="826">
        <f>IF(NOT(QUOTE_Split_SoftwareHardware),
IF(ISBLANK(Q14),"",Q14),
TotalPackages)</f>
        <v>0</v>
      </c>
      <c r="AK14" s="826"/>
    </row>
    <row r="15" spans="1:37" ht="11.25" customHeight="1" x14ac:dyDescent="0.2">
      <c r="B15" s="826" t="str">
        <f>HOME_City &amp; ", " &amp; HOME_Province &amp; " " &amp; HOME_Zip</f>
        <v xml:space="preserve">,  </v>
      </c>
      <c r="C15" s="826"/>
      <c r="D15" s="826"/>
      <c r="E15" s="826"/>
      <c r="F15" s="826"/>
      <c r="G15" s="826"/>
      <c r="H15" s="122"/>
      <c r="I15" s="826" t="str">
        <f>HOME_City_Ship &amp; ", " &amp; HOME_Province_Ship &amp; " " &amp; HOME_Zip_Ship</f>
        <v xml:space="preserve">,  </v>
      </c>
      <c r="J15" s="826"/>
      <c r="K15" s="826"/>
      <c r="L15" s="826"/>
      <c r="M15" s="119"/>
      <c r="N15" s="826" t="str">
        <f>IF(Francais,"Dimensions boîte (po)","Box Dimensions (in)")</f>
        <v>Dimensions boîte (po)</v>
      </c>
      <c r="O15" s="826"/>
      <c r="P15" s="826"/>
      <c r="Q15" s="863" t="str">
        <f>IF(ISBLANK(Quote!P15),"",Quote!P15)</f>
        <v/>
      </c>
      <c r="R15" s="863"/>
      <c r="T15" s="46"/>
      <c r="U15" s="826" t="str">
        <f t="shared" si="0"/>
        <v xml:space="preserve">,  </v>
      </c>
      <c r="V15" s="826"/>
      <c r="W15" s="826"/>
      <c r="X15" s="826"/>
      <c r="Y15" s="826"/>
      <c r="Z15" s="826"/>
      <c r="AA15" s="122"/>
      <c r="AB15" s="826" t="str">
        <f t="shared" si="1"/>
        <v xml:space="preserve">,  </v>
      </c>
      <c r="AC15" s="826"/>
      <c r="AD15" s="826"/>
      <c r="AE15" s="826"/>
      <c r="AF15" s="119"/>
      <c r="AG15" s="826" t="str">
        <f>N15</f>
        <v>Dimensions boîte (po)</v>
      </c>
      <c r="AH15" s="826"/>
      <c r="AI15" s="826"/>
      <c r="AJ15" s="863" t="str">
        <f>IF(NOT(QUOTE_Split_SoftwareHardware),
IF(ISBLANK(Q15),"",Q15),Vars!N86)</f>
        <v/>
      </c>
      <c r="AK15" s="863"/>
    </row>
    <row r="16" spans="1:37" ht="11.25" customHeight="1" x14ac:dyDescent="0.2">
      <c r="B16" s="826" t="str">
        <f>IF(ISBLANK(Home!H16),"",Home!H16)</f>
        <v/>
      </c>
      <c r="C16" s="826"/>
      <c r="D16" s="826"/>
      <c r="E16" s="826"/>
      <c r="F16" s="826"/>
      <c r="G16" s="826"/>
      <c r="H16" s="122"/>
      <c r="I16" s="826" t="str">
        <f>IF(ISBLANK(Home!R16),"",Home!R16)</f>
        <v/>
      </c>
      <c r="J16" s="826"/>
      <c r="K16" s="826"/>
      <c r="L16" s="826"/>
      <c r="M16" s="119"/>
      <c r="Q16" s="863"/>
      <c r="R16" s="863"/>
      <c r="T16" s="46"/>
      <c r="U16" s="826" t="str">
        <f>B16</f>
        <v/>
      </c>
      <c r="V16" s="826"/>
      <c r="W16" s="826"/>
      <c r="X16" s="826"/>
      <c r="Y16" s="826"/>
      <c r="Z16" s="826"/>
      <c r="AA16" s="122"/>
      <c r="AB16" s="826" t="str">
        <f>I16</f>
        <v/>
      </c>
      <c r="AC16" s="826"/>
      <c r="AD16" s="826"/>
      <c r="AE16" s="826"/>
      <c r="AF16" s="119"/>
      <c r="AJ16" s="863"/>
      <c r="AK16" s="863"/>
    </row>
    <row r="17" spans="1:44" ht="11.25" customHeight="1" x14ac:dyDescent="0.2">
      <c r="B17" s="861" t="str">
        <f>"Contact: "&amp;Home!B9&amp;" "&amp;Home!F9&amp;" "&amp;Home!H9</f>
        <v xml:space="preserve">Contact:   </v>
      </c>
      <c r="C17" s="861"/>
      <c r="D17" s="861"/>
      <c r="E17" s="861"/>
      <c r="F17" s="861"/>
      <c r="G17" s="861"/>
      <c r="H17" s="123"/>
      <c r="I17" s="861" t="str">
        <f>"Contact: "&amp;Home!L9&amp;" "&amp;Home!P9&amp;" "&amp;Home!R9</f>
        <v xml:space="preserve">Contact:   </v>
      </c>
      <c r="J17" s="861"/>
      <c r="K17" s="861"/>
      <c r="L17" s="861"/>
      <c r="M17" s="119"/>
      <c r="N17" s="826" t="str">
        <f>IF(Francais,"Poids net","Weight Net")</f>
        <v>Poids net</v>
      </c>
      <c r="O17" s="826"/>
      <c r="P17" s="826"/>
      <c r="Q17" s="757">
        <v>0</v>
      </c>
      <c r="R17" s="758">
        <f>IFERROR(Q17/2.205,"")</f>
        <v>0</v>
      </c>
      <c r="T17" s="46"/>
      <c r="U17" s="861" t="str">
        <f t="shared" si="0"/>
        <v xml:space="preserve">Contact:   </v>
      </c>
      <c r="V17" s="861"/>
      <c r="W17" s="861"/>
      <c r="X17" s="861"/>
      <c r="Y17" s="861"/>
      <c r="Z17" s="861"/>
      <c r="AA17" s="123"/>
      <c r="AB17" s="861" t="str">
        <f t="shared" si="1"/>
        <v xml:space="preserve">Contact:   </v>
      </c>
      <c r="AC17" s="861"/>
      <c r="AD17" s="861"/>
      <c r="AE17" s="861"/>
      <c r="AF17" s="119"/>
      <c r="AG17" s="826" t="str">
        <f>N17</f>
        <v>Poids net</v>
      </c>
      <c r="AH17" s="826"/>
      <c r="AI17" s="826"/>
      <c r="AJ17" s="757" t="str">
        <f>IF(ISBLANK(Quote!AK17),"",Quote!AK17)</f>
        <v/>
      </c>
      <c r="AK17" s="758" t="str">
        <f>IFERROR(AJ17/2.205,"")</f>
        <v/>
      </c>
      <c r="AN17" s="579"/>
      <c r="AO17" s="862"/>
      <c r="AP17" s="862"/>
      <c r="AQ17" s="862"/>
      <c r="AR17" s="862"/>
    </row>
    <row r="18" spans="1:44" ht="11.25" customHeight="1" x14ac:dyDescent="0.2">
      <c r="B18" s="237" t="str">
        <f>IF(Francais,"Tél.","Tel.")</f>
        <v>Tél.</v>
      </c>
      <c r="C18" s="861" t="str">
        <f>IF(ISBLANK(Home!B14),"",Home!B14)</f>
        <v/>
      </c>
      <c r="D18" s="861"/>
      <c r="E18" s="861"/>
      <c r="F18" s="861"/>
      <c r="G18" s="861"/>
      <c r="H18" s="123"/>
      <c r="I18" s="237" t="str">
        <f>IF(Francais,"Tél.","Tel.")</f>
        <v>Tél.</v>
      </c>
      <c r="J18" s="861" t="str">
        <f>IF(ISBLANK(Home!L14),"",Home!L14)</f>
        <v/>
      </c>
      <c r="K18" s="861"/>
      <c r="L18" s="861"/>
      <c r="M18" s="119"/>
      <c r="N18" s="826" t="str">
        <f>IF(Francais,"Poids brut","Weight Gross")</f>
        <v>Poids brut</v>
      </c>
      <c r="O18" s="826"/>
      <c r="P18" s="826"/>
      <c r="Q18" s="757">
        <v>0</v>
      </c>
      <c r="R18" s="758">
        <f>IFERROR(Q18/2.205,"")</f>
        <v>0</v>
      </c>
      <c r="T18" s="46"/>
      <c r="U18" s="237" t="str">
        <f>IF(Francais,"Tél.","Tel.")</f>
        <v>Tél.</v>
      </c>
      <c r="V18" s="864" t="str">
        <f>C18</f>
        <v/>
      </c>
      <c r="W18" s="864"/>
      <c r="X18" s="861"/>
      <c r="Y18" s="861"/>
      <c r="Z18" s="861"/>
      <c r="AA18" s="123"/>
      <c r="AB18" s="237" t="str">
        <f>IF(Francais,"Tél.","Tel.")</f>
        <v>Tél.</v>
      </c>
      <c r="AC18" s="861" t="str">
        <f>J18</f>
        <v/>
      </c>
      <c r="AD18" s="861"/>
      <c r="AE18" s="861"/>
      <c r="AF18" s="119"/>
      <c r="AG18" s="826" t="str">
        <f>N18</f>
        <v>Poids brut</v>
      </c>
      <c r="AH18" s="826"/>
      <c r="AI18" s="826"/>
      <c r="AJ18" s="757" t="str">
        <f>IF(ISBLANK(Quote!AK18),"",Quote!AK18)</f>
        <v/>
      </c>
      <c r="AK18" s="758" t="str">
        <f>IFERROR(AJ18/2.205,"")</f>
        <v/>
      </c>
    </row>
    <row r="19" spans="1:44" ht="11" customHeight="1" x14ac:dyDescent="0.2">
      <c r="B19" s="778" t="str">
        <f>IF(Francais,"Courriel:","Email:") &amp; " " &amp; IF(ISBLANK(HOME_Email),"",HOME_Email)</f>
        <v xml:space="preserve">Courriel: </v>
      </c>
      <c r="C19" s="724"/>
      <c r="D19" s="724"/>
      <c r="E19" s="724"/>
      <c r="F19" s="724"/>
      <c r="G19" s="724"/>
      <c r="H19" s="123"/>
      <c r="I19" s="777" t="str">
        <f>IF(Francais,"Courriel:","Email:") &amp; " " &amp; IF(ISBLANK(HOME_Email_Ship),"",HOME_Email_Ship)</f>
        <v xml:space="preserve">Courriel: </v>
      </c>
      <c r="J19" s="724"/>
      <c r="K19" s="119"/>
      <c r="L19" s="119"/>
      <c r="M19" s="237"/>
      <c r="N19" s="826" t="str">
        <f>IF(Francais,"Poids volumétrique","Weight Billing")</f>
        <v>Poids volumétrique</v>
      </c>
      <c r="O19" s="826"/>
      <c r="P19" s="826"/>
      <c r="Q19" s="757">
        <f>IF(NOT(QUOTE_Split_SoftwareHardware),
TotalWeight,
"")</f>
        <v>0</v>
      </c>
      <c r="R19" s="758">
        <f>IFERROR(Q19/2.205,"")</f>
        <v>0</v>
      </c>
      <c r="T19" s="46"/>
      <c r="U19" s="778" t="str">
        <f>IF(Francais,"Courriel:","Email:") &amp; " " &amp; IF(ISBLANK(HOME_Email),"",HOME_Email)</f>
        <v xml:space="preserve">Courriel: </v>
      </c>
      <c r="V19" s="724"/>
      <c r="W19" s="237"/>
      <c r="X19" s="237"/>
      <c r="Y19" s="237"/>
      <c r="Z19" s="237"/>
      <c r="AA19" s="123"/>
      <c r="AB19" s="777" t="str">
        <f>IF(Francais,"Courriel:","Email:") &amp; " " &amp; IF(ISBLANK(HOME_Email_Ship),"",HOME_Email_Ship)</f>
        <v xml:space="preserve">Courriel: </v>
      </c>
      <c r="AC19" s="724"/>
      <c r="AD19" s="125"/>
      <c r="AE19" s="125"/>
      <c r="AF19" s="237"/>
      <c r="AG19" s="826" t="str">
        <f>N19</f>
        <v>Poids volumétrique</v>
      </c>
      <c r="AH19" s="826"/>
      <c r="AI19" s="826"/>
      <c r="AJ19" s="757">
        <f>IF(NOT(QUOTE_Split_SoftwareHardware),
IF(ISBLANK(Q19),"",Q19),
TotalWeight)</f>
        <v>0</v>
      </c>
      <c r="AK19" s="758">
        <f>IFERROR(AJ19/2.205,"")</f>
        <v>0</v>
      </c>
    </row>
    <row r="20" spans="1:44" ht="11" customHeight="1" x14ac:dyDescent="0.2">
      <c r="B20" s="737"/>
      <c r="C20" s="737"/>
      <c r="D20" s="737"/>
      <c r="E20" s="737"/>
      <c r="F20" s="737"/>
      <c r="G20" s="737"/>
      <c r="H20" s="123"/>
      <c r="I20" s="778" t="str">
        <f>IF(Francais,
"#Id Taxes / EORI",
"Tax Id / EORI #"
) &amp; ":  " &amp; IF(ISBLANK(Home!$B$16),"",Home!$B$16)</f>
        <v xml:space="preserve">#Id Taxes / EORI:  </v>
      </c>
      <c r="J20" s="237"/>
      <c r="K20" s="384"/>
      <c r="L20" s="384"/>
      <c r="M20" s="237"/>
      <c r="N20" s="735"/>
      <c r="O20" s="735"/>
      <c r="P20" s="735"/>
      <c r="Q20" s="722"/>
      <c r="R20" s="723"/>
      <c r="T20" s="46"/>
      <c r="U20" s="737"/>
      <c r="V20" s="737"/>
      <c r="W20" s="737"/>
      <c r="X20" s="737"/>
      <c r="Y20" s="737"/>
      <c r="Z20" s="737"/>
      <c r="AA20" s="123"/>
      <c r="AB20" s="778" t="str">
        <f>IF(Francais,
"#Id Taxes / EORI",
"Tax Id / EORI #"
) &amp; ":  " &amp; IF(ISBLANK(Home!$B$16),"",Home!$B$16)</f>
        <v xml:space="preserve">#Id Taxes / EORI:  </v>
      </c>
      <c r="AC20" s="237"/>
      <c r="AD20" s="384"/>
      <c r="AE20" s="384"/>
      <c r="AF20" s="237"/>
      <c r="AG20" s="735"/>
      <c r="AH20" s="735"/>
      <c r="AI20" s="735"/>
      <c r="AJ20" s="722"/>
      <c r="AK20" s="723"/>
    </row>
    <row r="21" spans="1:44" ht="2.75" customHeight="1" x14ac:dyDescent="0.2">
      <c r="T21" s="46"/>
      <c r="U21" s="46"/>
      <c r="V21" s="46"/>
      <c r="W21" s="46"/>
      <c r="X21" s="46"/>
      <c r="Y21" s="46"/>
      <c r="Z21" s="46"/>
      <c r="AA21" s="46"/>
      <c r="AB21" s="46"/>
      <c r="AC21" s="46"/>
      <c r="AD21" s="46"/>
      <c r="AE21" s="46"/>
      <c r="AF21" s="46"/>
      <c r="AG21" s="46"/>
      <c r="AH21" s="46"/>
      <c r="AI21" s="46"/>
      <c r="AJ21" s="46"/>
      <c r="AK21" s="46"/>
    </row>
    <row r="22" spans="1:44" s="57" customFormat="1" ht="24" customHeight="1" x14ac:dyDescent="0.15">
      <c r="A22" s="241"/>
      <c r="B22" s="74" t="s">
        <v>35</v>
      </c>
      <c r="C22" s="75" t="str">
        <f>IF(Francais,"QTÉ","QTY")</f>
        <v>QTÉ</v>
      </c>
      <c r="D22" s="75" t="str">
        <f>IF(Francais,"EXP.","SHIP.")</f>
        <v>EXP.</v>
      </c>
      <c r="E22" s="832" t="s">
        <v>19</v>
      </c>
      <c r="F22" s="832"/>
      <c r="G22" s="75"/>
      <c r="H22" s="75"/>
      <c r="I22" s="75"/>
      <c r="J22" s="75"/>
      <c r="K22" s="75"/>
      <c r="L22" s="75"/>
      <c r="M22" s="75"/>
      <c r="N22" s="75"/>
      <c r="O22" s="867" t="str">
        <f>IF(QUOTE_DetailedPrices,"DETAILED EXT. PRICE",IF(Francais,"CODE HARMONISÉ","HARMONIZED CODE"))</f>
        <v>CODE HARMONISÉ</v>
      </c>
      <c r="P22" s="867"/>
      <c r="Q22" s="76" t="str">
        <f>IF(Francais,"PRIX UNITAIRE","UNIT PRICE")</f>
        <v>PRIX UNITAIRE</v>
      </c>
      <c r="R22" s="76" t="str">
        <f>IF(Francais,"SOUS-TOTAL","EXTENDED PRICE")</f>
        <v>SOUS-TOTAL</v>
      </c>
      <c r="T22" s="241"/>
      <c r="U22" s="74" t="s">
        <v>35</v>
      </c>
      <c r="V22" s="75" t="str">
        <f>IF(Francais,"QTÉ","QTY")</f>
        <v>QTÉ</v>
      </c>
      <c r="W22" s="75" t="str">
        <f>IF(Francais,"EXP.","SHIP.")</f>
        <v>EXP.</v>
      </c>
      <c r="X22" s="832" t="s">
        <v>19</v>
      </c>
      <c r="Y22" s="832"/>
      <c r="Z22" s="75"/>
      <c r="AA22" s="75"/>
      <c r="AB22" s="75"/>
      <c r="AC22" s="75"/>
      <c r="AD22" s="75"/>
      <c r="AE22" s="75"/>
      <c r="AF22" s="75"/>
      <c r="AG22" s="75"/>
      <c r="AH22" s="860" t="str">
        <f>IF(QUOTE_DetailedPrices,"DETAILED EXT. PRICE",IF(Francais,"CODE HARMONISÉ","HARMONIZED CODE"))</f>
        <v>CODE HARMONISÉ</v>
      </c>
      <c r="AI22" s="860"/>
      <c r="AJ22" s="76" t="str">
        <f>IF(Francais,"PRIX UNITAIRE","UNIT PRICE")</f>
        <v>PRIX UNITAIRE</v>
      </c>
      <c r="AK22" s="76" t="str">
        <f>IF(Francais,"SOUS-TOTAL","EXTENDED PRICE")</f>
        <v>SOUS-TOTAL</v>
      </c>
    </row>
    <row r="23" spans="1:44" ht="11" customHeight="1" x14ac:dyDescent="0.2">
      <c r="A23" s="83"/>
      <c r="B23" s="242"/>
      <c r="C23" s="243"/>
      <c r="D23" s="243"/>
      <c r="E23" s="854" t="str">
        <f>IF(ISBLANK(Quote!D23),"",Quote!D23)</f>
        <v/>
      </c>
      <c r="F23" s="836"/>
      <c r="G23" s="836"/>
      <c r="H23" s="836"/>
      <c r="I23" s="836"/>
      <c r="J23" s="836"/>
      <c r="K23" s="836"/>
      <c r="L23" s="836"/>
      <c r="M23" s="836"/>
      <c r="N23" s="836"/>
      <c r="O23" s="852"/>
      <c r="P23" s="853"/>
      <c r="Q23" s="174"/>
      <c r="R23" s="175"/>
      <c r="T23" s="83"/>
      <c r="U23" s="242"/>
      <c r="V23" s="243"/>
      <c r="W23" s="243"/>
      <c r="X23" s="854" t="str">
        <f>IF(ISBLANK(Quote!V23),"",Quote!V23)</f>
        <v/>
      </c>
      <c r="Y23" s="836"/>
      <c r="Z23" s="836"/>
      <c r="AA23" s="836"/>
      <c r="AB23" s="836"/>
      <c r="AC23" s="836"/>
      <c r="AD23" s="836"/>
      <c r="AE23" s="836"/>
      <c r="AF23" s="836"/>
      <c r="AG23" s="836"/>
      <c r="AH23" s="852"/>
      <c r="AI23" s="853"/>
      <c r="AJ23" s="174"/>
      <c r="AK23" s="175"/>
    </row>
    <row r="24" spans="1:44" ht="11.25" customHeight="1" x14ac:dyDescent="0.2">
      <c r="A24" s="84"/>
      <c r="B24" s="73" t="str">
        <f>IF(AND(C24&gt;0,C24&lt;&gt;"",AND(LEFT(E24,7)&lt;&gt;"   • Wi",LEFT(E24,7)&lt;&gt;"   • XL")),
COUNT($C$24:C24),"")</f>
        <v/>
      </c>
      <c r="C24" s="82" t="str">
        <f>IF(NOT(QUOTE_Split_SoftwareHardware),QCalc!Q3,QCalc!X3)</f>
        <v/>
      </c>
      <c r="D24" s="82" t="str">
        <f>C24</f>
        <v/>
      </c>
      <c r="E24" s="822" t="str">
        <f>IF(NOT(QUOTE_Split_SoftwareHardware),QCalc!N3,QCalc!U3)</f>
        <v/>
      </c>
      <c r="F24" s="823"/>
      <c r="G24" s="823"/>
      <c r="H24" s="823"/>
      <c r="I24" s="823"/>
      <c r="J24" s="823"/>
      <c r="K24" s="823"/>
      <c r="L24" s="823"/>
      <c r="M24" s="823"/>
      <c r="N24" s="823"/>
      <c r="O24" s="824" t="str">
        <f>IF(NOT(QUOTE_Split_SoftwareHardware),
IF(QUOTE_DetailedPrices,QCalc!P3,QCalc!O3),
IF(QUOTE_DetailedPrices,QCalc!W3,QCalc!V3))</f>
        <v/>
      </c>
      <c r="P24" s="825"/>
      <c r="Q24" s="176" t="str">
        <f>IF($D24=0,0,IF(NOT(QUOTE_Split_SoftwareHardware),QCalc!R3,QCalc!Y3))</f>
        <v/>
      </c>
      <c r="R24" s="177" t="str">
        <f>IF($D24=0,0,
IF(NOT(QUOTE_Split_SoftwareHardware),QCalc!S3,QCalc!Z3)
)</f>
        <v/>
      </c>
      <c r="T24" s="84"/>
      <c r="U24" s="73" t="str">
        <f>IF(AND(V24&gt;0,V24&lt;&gt;"",AND(LEFT(X24,7)&lt;&gt;"   • Wi",LEFT(X24,7)&lt;&gt;"   • XL")),
COUNT($V$24:V24)
+IF(NOT(QUOTE_Split_SoftwareHardware),MAX($B$24:$B$54),0),"")</f>
        <v/>
      </c>
      <c r="V24" s="82" t="str">
        <f>IF(NOT(QUOTE_Split_SoftwareHardware),QCalc!Q34,QCalc!AE3)</f>
        <v/>
      </c>
      <c r="W24" s="82" t="str">
        <f>V24</f>
        <v/>
      </c>
      <c r="X24" s="822" t="str">
        <f>IF(NOT(QUOTE_Split_SoftwareHardware),QCalc!N34,QCalc!AB3)</f>
        <v/>
      </c>
      <c r="Y24" s="823"/>
      <c r="Z24" s="823"/>
      <c r="AA24" s="823"/>
      <c r="AB24" s="823"/>
      <c r="AC24" s="823"/>
      <c r="AD24" s="823"/>
      <c r="AE24" s="823"/>
      <c r="AF24" s="823"/>
      <c r="AG24" s="823"/>
      <c r="AH24" s="824" t="str">
        <f>IF(NOT(QUOTE_Split_SoftwareHardware),
IF(QUOTE_DetailedPrices,QCalc!P34,QCalc!O34),
IF(QUOTE_DetailedPrices,QCalc!AD3,QCalc!AC3))</f>
        <v/>
      </c>
      <c r="AI24" s="825"/>
      <c r="AJ24" s="176" t="str">
        <f>IF($D24=0,0,IF(NOT(QUOTE_Split_SoftwareHardware),QCalc!R34,QCalc!AF3))</f>
        <v/>
      </c>
      <c r="AK24" s="177" t="str">
        <f>IF($D24=0,0,IF(NOT(QUOTE_Split_SoftwareHardware),QCalc!S34,QCalc!AG3))</f>
        <v/>
      </c>
    </row>
    <row r="25" spans="1:44" ht="11.25" customHeight="1" x14ac:dyDescent="0.2">
      <c r="A25" s="84"/>
      <c r="B25" s="73" t="str">
        <f>IF(AND(C25&gt;0,C25&lt;&gt;"",AND(LEFT(E25,7)&lt;&gt;"   • Wi",LEFT(E25,7)&lt;&gt;"   • XL")),
COUNT($C$24:C25),"")</f>
        <v/>
      </c>
      <c r="C25" s="82" t="str">
        <f>IF(NOT(QUOTE_Split_SoftwareHardware),QCalc!Q4,QCalc!X4)</f>
        <v/>
      </c>
      <c r="D25" s="120" t="str">
        <f t="shared" ref="D25:D54" si="3">C25</f>
        <v/>
      </c>
      <c r="E25" s="822" t="str">
        <f>IF(NOT(QUOTE_Split_SoftwareHardware),QCalc!N4,QCalc!U4)</f>
        <v/>
      </c>
      <c r="F25" s="823"/>
      <c r="G25" s="823"/>
      <c r="H25" s="823"/>
      <c r="I25" s="823"/>
      <c r="J25" s="823"/>
      <c r="K25" s="823"/>
      <c r="L25" s="823"/>
      <c r="M25" s="823"/>
      <c r="N25" s="823"/>
      <c r="O25" s="824" t="str">
        <f>IF(NOT(QUOTE_Split_SoftwareHardware),
IF(QUOTE_DetailedPrices,QCalc!P4,QCalc!O4),
IF(QUOTE_DetailedPrices,QCalc!W4,QCalc!V4))</f>
        <v/>
      </c>
      <c r="P25" s="825"/>
      <c r="Q25" s="176" t="str">
        <f>IF($D25=0,0,IF(NOT(QUOTE_Split_SoftwareHardware),QCalc!R4,QCalc!Y4))</f>
        <v/>
      </c>
      <c r="R25" s="177" t="str">
        <f>IF($D25=0,0,
IF(NOT(QUOTE_Split_SoftwareHardware),QCalc!S4,QCalc!Z4)
)</f>
        <v/>
      </c>
      <c r="T25" s="84"/>
      <c r="U25" s="73" t="str">
        <f>IF(AND(V25&gt;0,V25&lt;&gt;"",AND(LEFT(X25,7)&lt;&gt;"   • Wi",LEFT(X25,7)&lt;&gt;"   • XL")),
COUNT($V$24:V25)
+IF(NOT(QUOTE_Split_SoftwareHardware),MAX($B$24:$B$54),0),"")</f>
        <v/>
      </c>
      <c r="V25" s="82" t="str">
        <f>IF(NOT(QUOTE_Split_SoftwareHardware),QCalc!Q35,QCalc!AE4)</f>
        <v/>
      </c>
      <c r="W25" s="82" t="str">
        <f t="shared" ref="W25:W54" si="4">V25</f>
        <v/>
      </c>
      <c r="X25" s="822" t="str">
        <f>IF(NOT(QUOTE_Split_SoftwareHardware),QCalc!N35,QCalc!AB4)</f>
        <v/>
      </c>
      <c r="Y25" s="823"/>
      <c r="Z25" s="823"/>
      <c r="AA25" s="823"/>
      <c r="AB25" s="823"/>
      <c r="AC25" s="823"/>
      <c r="AD25" s="823"/>
      <c r="AE25" s="823"/>
      <c r="AF25" s="823"/>
      <c r="AG25" s="823"/>
      <c r="AH25" s="824" t="str">
        <f>IF(NOT(QUOTE_Split_SoftwareHardware),
IF(QUOTE_DetailedPrices,QCalc!P35,QCalc!O35),
IF(QUOTE_DetailedPrices,QCalc!AD4,QCalc!AC4))</f>
        <v/>
      </c>
      <c r="AI25" s="825"/>
      <c r="AJ25" s="176" t="str">
        <f>IF($D25=0,0,IF(NOT(QUOTE_Split_SoftwareHardware),QCalc!R35,QCalc!AF4))</f>
        <v/>
      </c>
      <c r="AK25" s="177" t="str">
        <f>IF($D25=0,0,IF(NOT(QUOTE_Split_SoftwareHardware),QCalc!S35,QCalc!AG4))</f>
        <v/>
      </c>
    </row>
    <row r="26" spans="1:44" ht="11.25" customHeight="1" x14ac:dyDescent="0.2">
      <c r="A26" s="84"/>
      <c r="B26" s="73" t="str">
        <f>IF(AND(C26&gt;0,C26&lt;&gt;"",AND(LEFT(E26,7)&lt;&gt;"   • Wi",LEFT(E26,7)&lt;&gt;"   • XL")),
COUNT($C$24:C26),"")</f>
        <v/>
      </c>
      <c r="C26" s="82" t="str">
        <f>IF(NOT(QUOTE_Split_SoftwareHardware),QCalc!Q5,QCalc!X5)</f>
        <v/>
      </c>
      <c r="D26" s="121" t="str">
        <f t="shared" si="3"/>
        <v/>
      </c>
      <c r="E26" s="822" t="str">
        <f>IF(NOT(QUOTE_Split_SoftwareHardware),QCalc!N5,QCalc!U5)</f>
        <v/>
      </c>
      <c r="F26" s="823"/>
      <c r="G26" s="823"/>
      <c r="H26" s="823"/>
      <c r="I26" s="823"/>
      <c r="J26" s="823"/>
      <c r="K26" s="823"/>
      <c r="L26" s="823"/>
      <c r="M26" s="823"/>
      <c r="N26" s="823"/>
      <c r="O26" s="850" t="str">
        <f>IF(NOT(QUOTE_Split_SoftwareHardware),
IF(QUOTE_DetailedPrices,QCalc!P5,QCalc!O5),
IF(QUOTE_DetailedPrices,QCalc!W5,QCalc!V5))</f>
        <v/>
      </c>
      <c r="P26" s="851"/>
      <c r="Q26" s="176" t="str">
        <f>IF($D26=0,0,IF(NOT(QUOTE_Split_SoftwareHardware),QCalc!R5,QCalc!Y5))</f>
        <v/>
      </c>
      <c r="R26" s="177" t="str">
        <f>IF($D26=0,0,
IF(NOT(QUOTE_Split_SoftwareHardware),QCalc!S5,QCalc!Z5)
)</f>
        <v/>
      </c>
      <c r="T26" s="84"/>
      <c r="U26" s="73" t="str">
        <f>IF(AND(V26&gt;0,V26&lt;&gt;"",AND(LEFT(X26,7)&lt;&gt;"   • Wi",LEFT(X26,7)&lt;&gt;"   • XL")),
COUNT($V$24:V26)
+IF(NOT(QUOTE_Split_SoftwareHardware),MAX($B$24:$B$54),0),"")</f>
        <v/>
      </c>
      <c r="V26" s="82" t="str">
        <f>IF(NOT(QUOTE_Split_SoftwareHardware),QCalc!Q36,QCalc!AE5)</f>
        <v/>
      </c>
      <c r="W26" s="82" t="str">
        <f t="shared" si="4"/>
        <v/>
      </c>
      <c r="X26" s="822" t="str">
        <f>IF(NOT(QUOTE_Split_SoftwareHardware),QCalc!N36,QCalc!AB5)</f>
        <v/>
      </c>
      <c r="Y26" s="823"/>
      <c r="Z26" s="823"/>
      <c r="AA26" s="823"/>
      <c r="AB26" s="823"/>
      <c r="AC26" s="823"/>
      <c r="AD26" s="823"/>
      <c r="AE26" s="823"/>
      <c r="AF26" s="823"/>
      <c r="AG26" s="823"/>
      <c r="AH26" s="824" t="str">
        <f>IF(NOT(QUOTE_Split_SoftwareHardware),
IF(QUOTE_DetailedPrices,QCalc!P36,QCalc!O36),
IF(QUOTE_DetailedPrices,QCalc!AD5,QCalc!AC5))</f>
        <v/>
      </c>
      <c r="AI26" s="825"/>
      <c r="AJ26" s="176" t="str">
        <f>IF($D26=0,0,IF(NOT(QUOTE_Split_SoftwareHardware),QCalc!R36,QCalc!AF5))</f>
        <v/>
      </c>
      <c r="AK26" s="177" t="str">
        <f>IF($D26=0,0,IF(NOT(QUOTE_Split_SoftwareHardware),QCalc!S36,QCalc!AG5))</f>
        <v/>
      </c>
    </row>
    <row r="27" spans="1:44" ht="11.25" customHeight="1" x14ac:dyDescent="0.2">
      <c r="A27" s="84"/>
      <c r="B27" s="73" t="str">
        <f>IF(AND(C27&gt;0,C27&lt;&gt;"",AND(LEFT(E27,7)&lt;&gt;"   • Wi",LEFT(E27,7)&lt;&gt;"   • XL")),
COUNT($C$24:C27),"")</f>
        <v/>
      </c>
      <c r="C27" s="82" t="str">
        <f>IF(NOT(QUOTE_Split_SoftwareHardware),QCalc!Q6,QCalc!X6)</f>
        <v/>
      </c>
      <c r="D27" s="121" t="str">
        <f t="shared" si="3"/>
        <v/>
      </c>
      <c r="E27" s="822" t="str">
        <f>IF(NOT(QUOTE_Split_SoftwareHardware),QCalc!N6,QCalc!U6)</f>
        <v/>
      </c>
      <c r="F27" s="823"/>
      <c r="G27" s="823"/>
      <c r="H27" s="823"/>
      <c r="I27" s="823"/>
      <c r="J27" s="823"/>
      <c r="K27" s="823"/>
      <c r="L27" s="823"/>
      <c r="M27" s="823"/>
      <c r="N27" s="823"/>
      <c r="O27" s="850" t="str">
        <f>IF(NOT(QUOTE_Split_SoftwareHardware),
IF(QUOTE_DetailedPrices,QCalc!P6,QCalc!O6),
IF(QUOTE_DetailedPrices,QCalc!W6,QCalc!V6))</f>
        <v/>
      </c>
      <c r="P27" s="851"/>
      <c r="Q27" s="176" t="str">
        <f>IF($D27=0,0,IF(NOT(QUOTE_Split_SoftwareHardware),QCalc!R6,QCalc!Y6))</f>
        <v/>
      </c>
      <c r="R27" s="177" t="str">
        <f>IF($D27=0,0,
IF(NOT(QUOTE_Split_SoftwareHardware),QCalc!S6,QCalc!Z6)
)</f>
        <v/>
      </c>
      <c r="T27" s="84"/>
      <c r="U27" s="73" t="str">
        <f>IF(AND(V27&gt;0,V27&lt;&gt;"",AND(LEFT(X27,7)&lt;&gt;"   • Wi",LEFT(X27,7)&lt;&gt;"   • XL")),
COUNT($V$24:V27)
+IF(NOT(QUOTE_Split_SoftwareHardware),MAX($B$24:$B$54),0),"")</f>
        <v/>
      </c>
      <c r="V27" s="82" t="str">
        <f>IF(NOT(QUOTE_Split_SoftwareHardware),QCalc!Q37,QCalc!AE6)</f>
        <v/>
      </c>
      <c r="W27" s="82" t="str">
        <f t="shared" si="4"/>
        <v/>
      </c>
      <c r="X27" s="822" t="str">
        <f>IF(NOT(QUOTE_Split_SoftwareHardware),QCalc!N37,QCalc!AB6)</f>
        <v/>
      </c>
      <c r="Y27" s="823"/>
      <c r="Z27" s="823"/>
      <c r="AA27" s="823"/>
      <c r="AB27" s="823"/>
      <c r="AC27" s="823"/>
      <c r="AD27" s="823"/>
      <c r="AE27" s="823"/>
      <c r="AF27" s="823"/>
      <c r="AG27" s="823"/>
      <c r="AH27" s="824" t="str">
        <f>IF(NOT(QUOTE_Split_SoftwareHardware),
IF(QUOTE_DetailedPrices,QCalc!P37,QCalc!O37),
IF(QUOTE_DetailedPrices,QCalc!AD6,QCalc!AC6))</f>
        <v/>
      </c>
      <c r="AI27" s="825"/>
      <c r="AJ27" s="176" t="str">
        <f>IF($D27=0,0,IF(NOT(QUOTE_Split_SoftwareHardware),QCalc!R37,QCalc!AF6))</f>
        <v/>
      </c>
      <c r="AK27" s="177" t="str">
        <f>IF($D27=0,0,IF(NOT(QUOTE_Split_SoftwareHardware),QCalc!S37,QCalc!AG6))</f>
        <v/>
      </c>
    </row>
    <row r="28" spans="1:44" ht="11.25" customHeight="1" x14ac:dyDescent="0.2">
      <c r="A28" s="84"/>
      <c r="B28" s="73" t="str">
        <f>IF(AND(C28&gt;0,C28&lt;&gt;"",AND(LEFT(E28,7)&lt;&gt;"   • Wi",LEFT(E28,7)&lt;&gt;"   • XL")),
COUNT($C$24:C28),"")</f>
        <v/>
      </c>
      <c r="C28" s="82" t="str">
        <f>IF(NOT(QUOTE_Split_SoftwareHardware),QCalc!Q7,QCalc!X7)</f>
        <v/>
      </c>
      <c r="D28" s="121" t="str">
        <f t="shared" si="3"/>
        <v/>
      </c>
      <c r="E28" s="822" t="str">
        <f>IF(NOT(QUOTE_Split_SoftwareHardware),QCalc!N7,QCalc!U7)</f>
        <v/>
      </c>
      <c r="F28" s="823"/>
      <c r="G28" s="823"/>
      <c r="H28" s="823"/>
      <c r="I28" s="823"/>
      <c r="J28" s="823"/>
      <c r="K28" s="823"/>
      <c r="L28" s="823"/>
      <c r="M28" s="823"/>
      <c r="N28" s="823"/>
      <c r="O28" s="850" t="str">
        <f>IF(NOT(QUOTE_Split_SoftwareHardware),
IF(QUOTE_DetailedPrices,QCalc!P7,QCalc!O7),
IF(QUOTE_DetailedPrices,QCalc!W7,QCalc!V7))</f>
        <v/>
      </c>
      <c r="P28" s="851"/>
      <c r="Q28" s="176" t="str">
        <f>IF($D28=0,0,IF(NOT(QUOTE_Split_SoftwareHardware),QCalc!R7,QCalc!Y7))</f>
        <v/>
      </c>
      <c r="R28" s="177" t="str">
        <f>IF($D28=0,0,
IF(NOT(QUOTE_Split_SoftwareHardware),QCalc!S7,QCalc!Z7)
)</f>
        <v/>
      </c>
      <c r="T28" s="84"/>
      <c r="U28" s="73" t="str">
        <f>IF(AND(V28&gt;0,V28&lt;&gt;"",AND(LEFT(X28,7)&lt;&gt;"   • Wi",LEFT(X28,7)&lt;&gt;"   • XL")),
COUNT($V$24:V28)
+IF(NOT(QUOTE_Split_SoftwareHardware),MAX($B$24:$B$54),0),"")</f>
        <v/>
      </c>
      <c r="V28" s="82" t="str">
        <f>IF(NOT(QUOTE_Split_SoftwareHardware),QCalc!Q38,QCalc!AE7)</f>
        <v/>
      </c>
      <c r="W28" s="82" t="str">
        <f t="shared" si="4"/>
        <v/>
      </c>
      <c r="X28" s="822" t="str">
        <f>IF(NOT(QUOTE_Split_SoftwareHardware),QCalc!N38,QCalc!AB7)</f>
        <v/>
      </c>
      <c r="Y28" s="823"/>
      <c r="Z28" s="823"/>
      <c r="AA28" s="823"/>
      <c r="AB28" s="823"/>
      <c r="AC28" s="823"/>
      <c r="AD28" s="823"/>
      <c r="AE28" s="823"/>
      <c r="AF28" s="823"/>
      <c r="AG28" s="823"/>
      <c r="AH28" s="824" t="str">
        <f>IF(NOT(QUOTE_Split_SoftwareHardware),
IF(QUOTE_DetailedPrices,QCalc!P38,QCalc!O38),
IF(QUOTE_DetailedPrices,QCalc!AD7,QCalc!AC7))</f>
        <v/>
      </c>
      <c r="AI28" s="825"/>
      <c r="AJ28" s="176" t="str">
        <f>IF($D28=0,0,IF(NOT(QUOTE_Split_SoftwareHardware),QCalc!R38,QCalc!AF7))</f>
        <v/>
      </c>
      <c r="AK28" s="177" t="str">
        <f>IF($D28=0,0,IF(NOT(QUOTE_Split_SoftwareHardware),QCalc!S38,QCalc!AG7))</f>
        <v/>
      </c>
    </row>
    <row r="29" spans="1:44" ht="11.25" customHeight="1" x14ac:dyDescent="0.2">
      <c r="A29" s="84"/>
      <c r="B29" s="73" t="str">
        <f>IF(AND(C29&gt;0,C29&lt;&gt;"",AND(LEFT(E29,7)&lt;&gt;"   • Wi",LEFT(E29,7)&lt;&gt;"   • XL")),
COUNT($C$24:C29),"")</f>
        <v/>
      </c>
      <c r="C29" s="82" t="str">
        <f>IF(NOT(QUOTE_Split_SoftwareHardware),QCalc!Q8,QCalc!X8)</f>
        <v/>
      </c>
      <c r="D29" s="121" t="str">
        <f t="shared" si="3"/>
        <v/>
      </c>
      <c r="E29" s="822" t="str">
        <f>IF(NOT(QUOTE_Split_SoftwareHardware),QCalc!N8,QCalc!U8)</f>
        <v/>
      </c>
      <c r="F29" s="823"/>
      <c r="G29" s="823"/>
      <c r="H29" s="823"/>
      <c r="I29" s="823"/>
      <c r="J29" s="823"/>
      <c r="K29" s="823"/>
      <c r="L29" s="823"/>
      <c r="M29" s="823"/>
      <c r="N29" s="823"/>
      <c r="O29" s="850" t="str">
        <f>IF(NOT(QUOTE_Split_SoftwareHardware),
IF(QUOTE_DetailedPrices,QCalc!P8,QCalc!O8),
IF(QUOTE_DetailedPrices,QCalc!W8,QCalc!V8))</f>
        <v/>
      </c>
      <c r="P29" s="851"/>
      <c r="Q29" s="176" t="str">
        <f>IF($D29=0,0,IF(NOT(QUOTE_Split_SoftwareHardware),QCalc!R8,QCalc!Y8))</f>
        <v/>
      </c>
      <c r="R29" s="177" t="str">
        <f>IF($D29=0,0,
IF(NOT(QUOTE_Split_SoftwareHardware),QCalc!S8,QCalc!Z8)
)</f>
        <v/>
      </c>
      <c r="T29" s="84"/>
      <c r="U29" s="73" t="str">
        <f>IF(AND(V29&gt;0,V29&lt;&gt;"",AND(LEFT(X29,7)&lt;&gt;"   • Wi",LEFT(X29,7)&lt;&gt;"   • XL")),
COUNT($V$24:V29)
+IF(NOT(QUOTE_Split_SoftwareHardware),MAX($B$24:$B$54),0),"")</f>
        <v/>
      </c>
      <c r="V29" s="82" t="str">
        <f>IF(NOT(QUOTE_Split_SoftwareHardware),QCalc!Q39,QCalc!AE8)</f>
        <v/>
      </c>
      <c r="W29" s="82" t="str">
        <f t="shared" si="4"/>
        <v/>
      </c>
      <c r="X29" s="822" t="str">
        <f>IF(NOT(QUOTE_Split_SoftwareHardware),QCalc!N39,QCalc!AB8)</f>
        <v/>
      </c>
      <c r="Y29" s="823"/>
      <c r="Z29" s="823"/>
      <c r="AA29" s="823"/>
      <c r="AB29" s="823"/>
      <c r="AC29" s="823"/>
      <c r="AD29" s="823"/>
      <c r="AE29" s="823"/>
      <c r="AF29" s="823"/>
      <c r="AG29" s="823"/>
      <c r="AH29" s="824" t="str">
        <f>IF(NOT(QUOTE_Split_SoftwareHardware),
IF(QUOTE_DetailedPrices,QCalc!P39,QCalc!O39),
IF(QUOTE_DetailedPrices,QCalc!AD8,QCalc!AC8))</f>
        <v/>
      </c>
      <c r="AI29" s="825"/>
      <c r="AJ29" s="176" t="str">
        <f>IF($D29=0,0,IF(NOT(QUOTE_Split_SoftwareHardware),QCalc!R39,QCalc!AF8))</f>
        <v/>
      </c>
      <c r="AK29" s="177" t="str">
        <f>IF($D29=0,0,IF(NOT(QUOTE_Split_SoftwareHardware),QCalc!S39,QCalc!AG8))</f>
        <v/>
      </c>
    </row>
    <row r="30" spans="1:44" ht="11.25" customHeight="1" x14ac:dyDescent="0.2">
      <c r="A30" s="84"/>
      <c r="B30" s="73" t="str">
        <f>IF(AND(C30&gt;0,C30&lt;&gt;"",AND(LEFT(E30,7)&lt;&gt;"   • Wi",LEFT(E30,7)&lt;&gt;"   • XL")),
COUNT($C$24:C30),"")</f>
        <v/>
      </c>
      <c r="C30" s="82" t="str">
        <f>IF(NOT(QUOTE_Split_SoftwareHardware),QCalc!Q9,QCalc!X9)</f>
        <v/>
      </c>
      <c r="D30" s="121" t="str">
        <f t="shared" si="3"/>
        <v/>
      </c>
      <c r="E30" s="822" t="str">
        <f>IF(NOT(QUOTE_Split_SoftwareHardware),QCalc!N9,QCalc!U9)</f>
        <v/>
      </c>
      <c r="F30" s="823"/>
      <c r="G30" s="823"/>
      <c r="H30" s="823"/>
      <c r="I30" s="823"/>
      <c r="J30" s="823"/>
      <c r="K30" s="823"/>
      <c r="L30" s="823"/>
      <c r="M30" s="823"/>
      <c r="N30" s="823"/>
      <c r="O30" s="850" t="str">
        <f>IF(NOT(QUOTE_Split_SoftwareHardware),
IF(QUOTE_DetailedPrices,QCalc!P9,QCalc!O9),
IF(QUOTE_DetailedPrices,QCalc!W9,QCalc!V9))</f>
        <v/>
      </c>
      <c r="P30" s="851"/>
      <c r="Q30" s="176" t="str">
        <f>IF($D30=0,0,IF(NOT(QUOTE_Split_SoftwareHardware),QCalc!R9,QCalc!Y9))</f>
        <v/>
      </c>
      <c r="R30" s="177" t="str">
        <f>IF($D30=0,0,
IF(NOT(QUOTE_Split_SoftwareHardware),QCalc!S9,QCalc!Z9)
)</f>
        <v/>
      </c>
      <c r="T30" s="84"/>
      <c r="U30" s="73" t="str">
        <f>IF(AND(V30&gt;0,V30&lt;&gt;"",AND(LEFT(X30,7)&lt;&gt;"   • Wi",LEFT(X30,7)&lt;&gt;"   • XL")),
COUNT($V$24:V30)
+IF(NOT(QUOTE_Split_SoftwareHardware),MAX($B$24:$B$54),0),"")</f>
        <v/>
      </c>
      <c r="V30" s="82" t="str">
        <f>IF(NOT(QUOTE_Split_SoftwareHardware),QCalc!Q40,QCalc!AE9)</f>
        <v/>
      </c>
      <c r="W30" s="82" t="str">
        <f t="shared" si="4"/>
        <v/>
      </c>
      <c r="X30" s="822" t="str">
        <f>IF(NOT(QUOTE_Split_SoftwareHardware),QCalc!N40,QCalc!AB9)</f>
        <v/>
      </c>
      <c r="Y30" s="823"/>
      <c r="Z30" s="823"/>
      <c r="AA30" s="823"/>
      <c r="AB30" s="823"/>
      <c r="AC30" s="823"/>
      <c r="AD30" s="823"/>
      <c r="AE30" s="823"/>
      <c r="AF30" s="823"/>
      <c r="AG30" s="823"/>
      <c r="AH30" s="824" t="str">
        <f>IF(NOT(QUOTE_Split_SoftwareHardware),
IF(QUOTE_DetailedPrices,QCalc!P40,QCalc!O40),
IF(QUOTE_DetailedPrices,QCalc!AD9,QCalc!AC9))</f>
        <v/>
      </c>
      <c r="AI30" s="825"/>
      <c r="AJ30" s="176" t="str">
        <f>IF($D30=0,0,IF(NOT(QUOTE_Split_SoftwareHardware),QCalc!R40,QCalc!AF9))</f>
        <v/>
      </c>
      <c r="AK30" s="177" t="str">
        <f>IF($D30=0,0,IF(NOT(QUOTE_Split_SoftwareHardware),QCalc!S40,QCalc!AG9))</f>
        <v/>
      </c>
    </row>
    <row r="31" spans="1:44" ht="11" customHeight="1" x14ac:dyDescent="0.2">
      <c r="A31" s="84"/>
      <c r="B31" s="73" t="str">
        <f>IF(AND(C31&gt;0,C31&lt;&gt;"",AND(LEFT(E31,7)&lt;&gt;"   • Wi",LEFT(E31,7)&lt;&gt;"   • XL")),
COUNT($C$24:C31),"")</f>
        <v/>
      </c>
      <c r="C31" s="82" t="str">
        <f>IF(NOT(QUOTE_Split_SoftwareHardware),QCalc!Q10,QCalc!X10)</f>
        <v/>
      </c>
      <c r="D31" s="121" t="str">
        <f t="shared" si="3"/>
        <v/>
      </c>
      <c r="E31" s="822" t="str">
        <f>IF(NOT(QUOTE_Split_SoftwareHardware),QCalc!N10,QCalc!U10)</f>
        <v/>
      </c>
      <c r="F31" s="823"/>
      <c r="G31" s="823"/>
      <c r="H31" s="823"/>
      <c r="I31" s="823"/>
      <c r="J31" s="823"/>
      <c r="K31" s="823"/>
      <c r="L31" s="823"/>
      <c r="M31" s="823"/>
      <c r="N31" s="823"/>
      <c r="O31" s="850" t="str">
        <f>IF(NOT(QUOTE_Split_SoftwareHardware),
IF(QUOTE_DetailedPrices,QCalc!P10,QCalc!O10),
IF(QUOTE_DetailedPrices,QCalc!W10,QCalc!V10))</f>
        <v/>
      </c>
      <c r="P31" s="851"/>
      <c r="Q31" s="176" t="str">
        <f>IF($D31=0,0,IF(NOT(QUOTE_Split_SoftwareHardware),QCalc!R10,QCalc!Y10))</f>
        <v/>
      </c>
      <c r="R31" s="177" t="str">
        <f>IF($D31=0,0,
IF(NOT(QUOTE_Split_SoftwareHardware),QCalc!S10,QCalc!Z10)
)</f>
        <v/>
      </c>
      <c r="T31" s="84"/>
      <c r="U31" s="73" t="str">
        <f>IF(AND(V31&gt;0,V31&lt;&gt;"",AND(LEFT(X31,7)&lt;&gt;"   • Wi",LEFT(X31,7)&lt;&gt;"   • XL")),
COUNT($V$24:V31)
+IF(NOT(QUOTE_Split_SoftwareHardware),MAX($B$24:$B$54),0),"")</f>
        <v/>
      </c>
      <c r="V31" s="82" t="str">
        <f>IF(NOT(QUOTE_Split_SoftwareHardware),QCalc!Q41,QCalc!AE10)</f>
        <v/>
      </c>
      <c r="W31" s="82" t="str">
        <f t="shared" si="4"/>
        <v/>
      </c>
      <c r="X31" s="822" t="str">
        <f>IF(NOT(QUOTE_Split_SoftwareHardware),QCalc!N41,QCalc!AB10)</f>
        <v/>
      </c>
      <c r="Y31" s="823"/>
      <c r="Z31" s="823"/>
      <c r="AA31" s="823"/>
      <c r="AB31" s="823"/>
      <c r="AC31" s="823"/>
      <c r="AD31" s="823"/>
      <c r="AE31" s="823"/>
      <c r="AF31" s="823"/>
      <c r="AG31" s="823"/>
      <c r="AH31" s="824" t="str">
        <f>IF(NOT(QUOTE_Split_SoftwareHardware),
IF(QUOTE_DetailedPrices,QCalc!P41,QCalc!O41),
IF(QUOTE_DetailedPrices,QCalc!AD10,QCalc!AC10))</f>
        <v/>
      </c>
      <c r="AI31" s="825"/>
      <c r="AJ31" s="176" t="str">
        <f>IF($D31=0,0,IF(NOT(QUOTE_Split_SoftwareHardware),QCalc!R41,QCalc!AF10))</f>
        <v/>
      </c>
      <c r="AK31" s="177" t="str">
        <f>IF($D31=0,0,IF(NOT(QUOTE_Split_SoftwareHardware),QCalc!S41,QCalc!AG10))</f>
        <v/>
      </c>
    </row>
    <row r="32" spans="1:44" ht="11" customHeight="1" x14ac:dyDescent="0.2">
      <c r="A32" s="84"/>
      <c r="B32" s="73" t="str">
        <f>IF(AND(C32&gt;0,C32&lt;&gt;"",AND(LEFT(E32,7)&lt;&gt;"   • Wi",LEFT(E32,7)&lt;&gt;"   • XL")),
COUNT($C$24:C32),"")</f>
        <v/>
      </c>
      <c r="C32" s="82" t="str">
        <f>IF(NOT(QUOTE_Split_SoftwareHardware),QCalc!Q11,QCalc!X11)</f>
        <v/>
      </c>
      <c r="D32" s="121" t="str">
        <f t="shared" si="3"/>
        <v/>
      </c>
      <c r="E32" s="822" t="str">
        <f>IF(NOT(QUOTE_Split_SoftwareHardware),QCalc!N11,QCalc!U11)</f>
        <v/>
      </c>
      <c r="F32" s="823"/>
      <c r="G32" s="823"/>
      <c r="H32" s="823"/>
      <c r="I32" s="823"/>
      <c r="J32" s="823"/>
      <c r="K32" s="823"/>
      <c r="L32" s="823"/>
      <c r="M32" s="823"/>
      <c r="N32" s="823"/>
      <c r="O32" s="850" t="str">
        <f>IF(NOT(QUOTE_Split_SoftwareHardware),
IF(QUOTE_DetailedPrices,QCalc!P11,QCalc!O11),
IF(QUOTE_DetailedPrices,QCalc!W11,QCalc!V11))</f>
        <v/>
      </c>
      <c r="P32" s="851"/>
      <c r="Q32" s="176" t="str">
        <f>IF($D32=0,0,IF(NOT(QUOTE_Split_SoftwareHardware),QCalc!R11,QCalc!Y11))</f>
        <v/>
      </c>
      <c r="R32" s="177" t="str">
        <f>IF($D32=0,0,
IF(NOT(QUOTE_Split_SoftwareHardware),QCalc!S11,QCalc!Z11)
)</f>
        <v/>
      </c>
      <c r="T32" s="84"/>
      <c r="U32" s="73" t="str">
        <f>IF(AND(V32&gt;0,V32&lt;&gt;"",AND(LEFT(X32,7)&lt;&gt;"   • Wi",LEFT(X32,7)&lt;&gt;"   • XL")),
COUNT($V$24:V32)
+IF(NOT(QUOTE_Split_SoftwareHardware),MAX($B$24:$B$54),0),"")</f>
        <v/>
      </c>
      <c r="V32" s="82" t="str">
        <f>IF(NOT(QUOTE_Split_SoftwareHardware),QCalc!Q42,QCalc!AE11)</f>
        <v/>
      </c>
      <c r="W32" s="82" t="str">
        <f t="shared" si="4"/>
        <v/>
      </c>
      <c r="X32" s="822" t="str">
        <f>IF(NOT(QUOTE_Split_SoftwareHardware),QCalc!N42,QCalc!AB11)</f>
        <v/>
      </c>
      <c r="Y32" s="823"/>
      <c r="Z32" s="823"/>
      <c r="AA32" s="823"/>
      <c r="AB32" s="823"/>
      <c r="AC32" s="823"/>
      <c r="AD32" s="823"/>
      <c r="AE32" s="823"/>
      <c r="AF32" s="823"/>
      <c r="AG32" s="823"/>
      <c r="AH32" s="824" t="str">
        <f>IF(NOT(QUOTE_Split_SoftwareHardware),
IF(QUOTE_DetailedPrices,QCalc!P42,QCalc!O42),
IF(QUOTE_DetailedPrices,QCalc!AD11,QCalc!AC11))</f>
        <v/>
      </c>
      <c r="AI32" s="825"/>
      <c r="AJ32" s="176" t="str">
        <f>IF($D32=0,0,IF(NOT(QUOTE_Split_SoftwareHardware),QCalc!R42,QCalc!AF11))</f>
        <v/>
      </c>
      <c r="AK32" s="177" t="str">
        <f>IF($D32=0,0,IF(NOT(QUOTE_Split_SoftwareHardware),QCalc!S42,QCalc!AG11))</f>
        <v/>
      </c>
    </row>
    <row r="33" spans="1:37" ht="11" customHeight="1" x14ac:dyDescent="0.2">
      <c r="A33" s="84"/>
      <c r="B33" s="73" t="str">
        <f>IF(AND(C33&gt;0,C33&lt;&gt;"",AND(LEFT(E33,7)&lt;&gt;"   • Wi",LEFT(E33,7)&lt;&gt;"   • XL")),
COUNT($C$24:C33),"")</f>
        <v/>
      </c>
      <c r="C33" s="82" t="str">
        <f>IF(NOT(QUOTE_Split_SoftwareHardware),QCalc!Q12,QCalc!X12)</f>
        <v/>
      </c>
      <c r="D33" s="121" t="str">
        <f t="shared" si="3"/>
        <v/>
      </c>
      <c r="E33" s="822" t="str">
        <f>IF(NOT(QUOTE_Split_SoftwareHardware),QCalc!N12,QCalc!U12)</f>
        <v/>
      </c>
      <c r="F33" s="823"/>
      <c r="G33" s="823"/>
      <c r="H33" s="823"/>
      <c r="I33" s="823"/>
      <c r="J33" s="823"/>
      <c r="K33" s="823"/>
      <c r="L33" s="823"/>
      <c r="M33" s="823"/>
      <c r="N33" s="823"/>
      <c r="O33" s="850" t="str">
        <f>IF(NOT(QUOTE_Split_SoftwareHardware),
IF(QUOTE_DetailedPrices,QCalc!P12,QCalc!O12),
IF(QUOTE_DetailedPrices,QCalc!W12,QCalc!V12))</f>
        <v/>
      </c>
      <c r="P33" s="851"/>
      <c r="Q33" s="176" t="str">
        <f>IF($D33=0,0,IF(NOT(QUOTE_Split_SoftwareHardware),QCalc!R12,QCalc!Y12))</f>
        <v/>
      </c>
      <c r="R33" s="177" t="str">
        <f>IF($D33=0,0,
IF(NOT(QUOTE_Split_SoftwareHardware),QCalc!S12,QCalc!Z12)
)</f>
        <v/>
      </c>
      <c r="T33" s="84"/>
      <c r="U33" s="73" t="str">
        <f>IF(AND(V33&gt;0,V33&lt;&gt;"",AND(LEFT(X33,7)&lt;&gt;"   • Wi",LEFT(X33,7)&lt;&gt;"   • XL")),
COUNT($V$24:V33)
+IF(NOT(QUOTE_Split_SoftwareHardware),MAX($B$24:$B$54),0),"")</f>
        <v/>
      </c>
      <c r="V33" s="82" t="str">
        <f>IF(NOT(QUOTE_Split_SoftwareHardware),QCalc!Q43,QCalc!AE12)</f>
        <v/>
      </c>
      <c r="W33" s="82" t="str">
        <f t="shared" si="4"/>
        <v/>
      </c>
      <c r="X33" s="822" t="str">
        <f>IF(NOT(QUOTE_Split_SoftwareHardware),QCalc!N43,QCalc!AB12)</f>
        <v/>
      </c>
      <c r="Y33" s="823"/>
      <c r="Z33" s="823"/>
      <c r="AA33" s="823"/>
      <c r="AB33" s="823"/>
      <c r="AC33" s="823"/>
      <c r="AD33" s="823"/>
      <c r="AE33" s="823"/>
      <c r="AF33" s="823"/>
      <c r="AG33" s="823"/>
      <c r="AH33" s="824" t="str">
        <f>IF(NOT(QUOTE_Split_SoftwareHardware),
IF(QUOTE_DetailedPrices,QCalc!P43,QCalc!O43),
IF(QUOTE_DetailedPrices,QCalc!AD12,QCalc!AC12))</f>
        <v/>
      </c>
      <c r="AI33" s="825"/>
      <c r="AJ33" s="176" t="str">
        <f>IF($D33=0,0,IF(NOT(QUOTE_Split_SoftwareHardware),QCalc!R43,QCalc!AF12))</f>
        <v/>
      </c>
      <c r="AK33" s="177" t="str">
        <f>IF($D33=0,0,IF(NOT(QUOTE_Split_SoftwareHardware),QCalc!S43,QCalc!AG12))</f>
        <v/>
      </c>
    </row>
    <row r="34" spans="1:37" ht="11" customHeight="1" x14ac:dyDescent="0.2">
      <c r="A34" s="84"/>
      <c r="B34" s="73" t="str">
        <f>IF(AND(C34&gt;0,C34&lt;&gt;"",AND(LEFT(E34,7)&lt;&gt;"   • Wi",LEFT(E34,7)&lt;&gt;"   • XL")),
COUNT($C$24:C34),"")</f>
        <v/>
      </c>
      <c r="C34" s="82" t="str">
        <f>IF(NOT(QUOTE_Split_SoftwareHardware),QCalc!Q13,QCalc!X13)</f>
        <v/>
      </c>
      <c r="D34" s="121" t="str">
        <f t="shared" si="3"/>
        <v/>
      </c>
      <c r="E34" s="822" t="str">
        <f>IF(NOT(QUOTE_Split_SoftwareHardware),QCalc!N13,QCalc!U13)</f>
        <v/>
      </c>
      <c r="F34" s="823"/>
      <c r="G34" s="823"/>
      <c r="H34" s="823"/>
      <c r="I34" s="823"/>
      <c r="J34" s="823"/>
      <c r="K34" s="823"/>
      <c r="L34" s="823"/>
      <c r="M34" s="823"/>
      <c r="N34" s="823"/>
      <c r="O34" s="850" t="str">
        <f>IF(NOT(QUOTE_Split_SoftwareHardware),
IF(QUOTE_DetailedPrices,QCalc!P13,QCalc!O13),
IF(QUOTE_DetailedPrices,QCalc!W13,QCalc!V13))</f>
        <v/>
      </c>
      <c r="P34" s="851"/>
      <c r="Q34" s="176" t="str">
        <f>IF($D34=0,0,IF(NOT(QUOTE_Split_SoftwareHardware),QCalc!R13,QCalc!Y13))</f>
        <v/>
      </c>
      <c r="R34" s="177" t="str">
        <f>IF($D34=0,0,
IF(NOT(QUOTE_Split_SoftwareHardware),QCalc!S13,QCalc!Z13)
)</f>
        <v/>
      </c>
      <c r="T34" s="84"/>
      <c r="U34" s="73" t="str">
        <f>IF(AND(V34&gt;0,V34&lt;&gt;"",AND(LEFT(X34,7)&lt;&gt;"   • Wi",LEFT(X34,7)&lt;&gt;"   • XL")),
COUNT($V$24:V34)
+IF(NOT(QUOTE_Split_SoftwareHardware),MAX($B$24:$B$54),0),"")</f>
        <v/>
      </c>
      <c r="V34" s="82" t="str">
        <f>IF(NOT(QUOTE_Split_SoftwareHardware),QCalc!Q44,QCalc!AE13)</f>
        <v/>
      </c>
      <c r="W34" s="82" t="str">
        <f t="shared" si="4"/>
        <v/>
      </c>
      <c r="X34" s="822" t="str">
        <f>IF(NOT(QUOTE_Split_SoftwareHardware),QCalc!N44,QCalc!AB13)</f>
        <v/>
      </c>
      <c r="Y34" s="823"/>
      <c r="Z34" s="823"/>
      <c r="AA34" s="823"/>
      <c r="AB34" s="823"/>
      <c r="AC34" s="823"/>
      <c r="AD34" s="823"/>
      <c r="AE34" s="823"/>
      <c r="AF34" s="823"/>
      <c r="AG34" s="823"/>
      <c r="AH34" s="824" t="str">
        <f>IF(NOT(QUOTE_Split_SoftwareHardware),
IF(QUOTE_DetailedPrices,QCalc!P44,QCalc!O44),
IF(QUOTE_DetailedPrices,QCalc!AD13,QCalc!AC13))</f>
        <v/>
      </c>
      <c r="AI34" s="825"/>
      <c r="AJ34" s="176" t="str">
        <f>IF($D34=0,0,IF(NOT(QUOTE_Split_SoftwareHardware),QCalc!R44,QCalc!AF13))</f>
        <v/>
      </c>
      <c r="AK34" s="177" t="str">
        <f>IF($D34=0,0,IF(NOT(QUOTE_Split_SoftwareHardware),QCalc!S44,QCalc!AG13))</f>
        <v/>
      </c>
    </row>
    <row r="35" spans="1:37" ht="11" customHeight="1" x14ac:dyDescent="0.2">
      <c r="A35" s="84"/>
      <c r="B35" s="73" t="str">
        <f>IF(AND(C35&gt;0,C35&lt;&gt;"",AND(LEFT(E35,7)&lt;&gt;"   • Wi",LEFT(E35,7)&lt;&gt;"   • XL")),
COUNT($C$24:C35),"")</f>
        <v/>
      </c>
      <c r="C35" s="82" t="str">
        <f>IF(NOT(QUOTE_Split_SoftwareHardware),QCalc!Q14,QCalc!X14)</f>
        <v/>
      </c>
      <c r="D35" s="121" t="str">
        <f t="shared" si="3"/>
        <v/>
      </c>
      <c r="E35" s="822" t="str">
        <f>IF(NOT(QUOTE_Split_SoftwareHardware),QCalc!N14,QCalc!U14)</f>
        <v/>
      </c>
      <c r="F35" s="823"/>
      <c r="G35" s="823"/>
      <c r="H35" s="823"/>
      <c r="I35" s="823"/>
      <c r="J35" s="823"/>
      <c r="K35" s="823"/>
      <c r="L35" s="823"/>
      <c r="M35" s="823"/>
      <c r="N35" s="823"/>
      <c r="O35" s="850" t="str">
        <f>IF(NOT(QUOTE_Split_SoftwareHardware),
IF(QUOTE_DetailedPrices,QCalc!P14,QCalc!O14),
IF(QUOTE_DetailedPrices,QCalc!W14,QCalc!V14))</f>
        <v/>
      </c>
      <c r="P35" s="851"/>
      <c r="Q35" s="176" t="str">
        <f>IF($D35=0,0,IF(NOT(QUOTE_Split_SoftwareHardware),QCalc!R14,QCalc!Y14))</f>
        <v/>
      </c>
      <c r="R35" s="177" t="str">
        <f>IF($D35=0,0,
IF(NOT(QUOTE_Split_SoftwareHardware),QCalc!S14,QCalc!Z14)
)</f>
        <v/>
      </c>
      <c r="T35" s="84"/>
      <c r="U35" s="73" t="str">
        <f>IF(AND(V35&gt;0,V35&lt;&gt;"",AND(LEFT(X35,7)&lt;&gt;"   • Wi",LEFT(X35,7)&lt;&gt;"   • XL")),
COUNT($V$24:V35)
+IF(NOT(QUOTE_Split_SoftwareHardware),MAX($B$24:$B$54),0),"")</f>
        <v/>
      </c>
      <c r="V35" s="82" t="str">
        <f>IF(NOT(QUOTE_Split_SoftwareHardware),QCalc!Q45,QCalc!AE14)</f>
        <v/>
      </c>
      <c r="W35" s="82" t="str">
        <f t="shared" si="4"/>
        <v/>
      </c>
      <c r="X35" s="822" t="str">
        <f>IF(NOT(QUOTE_Split_SoftwareHardware),QCalc!N45,QCalc!AB14)</f>
        <v/>
      </c>
      <c r="Y35" s="823"/>
      <c r="Z35" s="823"/>
      <c r="AA35" s="823"/>
      <c r="AB35" s="823"/>
      <c r="AC35" s="823"/>
      <c r="AD35" s="823"/>
      <c r="AE35" s="823"/>
      <c r="AF35" s="823"/>
      <c r="AG35" s="823"/>
      <c r="AH35" s="824" t="str">
        <f>IF(NOT(QUOTE_Split_SoftwareHardware),
IF(QUOTE_DetailedPrices,QCalc!P45,QCalc!O45),
IF(QUOTE_DetailedPrices,QCalc!AD14,QCalc!AC14))</f>
        <v/>
      </c>
      <c r="AI35" s="825"/>
      <c r="AJ35" s="176" t="str">
        <f>IF($D35=0,0,IF(NOT(QUOTE_Split_SoftwareHardware),QCalc!R45,QCalc!AF14))</f>
        <v/>
      </c>
      <c r="AK35" s="177" t="str">
        <f>IF($D35=0,0,IF(NOT(QUOTE_Split_SoftwareHardware),QCalc!S45,QCalc!AG14))</f>
        <v/>
      </c>
    </row>
    <row r="36" spans="1:37" ht="11" customHeight="1" x14ac:dyDescent="0.2">
      <c r="A36" s="84"/>
      <c r="B36" s="73" t="str">
        <f>IF(AND(C36&gt;0,C36&lt;&gt;"",AND(LEFT(E36,7)&lt;&gt;"   • Wi",LEFT(E36,7)&lt;&gt;"   • XL")),
COUNT($C$24:C36),"")</f>
        <v/>
      </c>
      <c r="C36" s="82" t="str">
        <f>IF(NOT(QUOTE_Split_SoftwareHardware),QCalc!Q15,QCalc!X15)</f>
        <v/>
      </c>
      <c r="D36" s="121" t="str">
        <f t="shared" si="3"/>
        <v/>
      </c>
      <c r="E36" s="822" t="str">
        <f>IF(NOT(QUOTE_Split_SoftwareHardware),QCalc!N15,QCalc!U15)</f>
        <v/>
      </c>
      <c r="F36" s="823"/>
      <c r="G36" s="823"/>
      <c r="H36" s="823"/>
      <c r="I36" s="823"/>
      <c r="J36" s="823"/>
      <c r="K36" s="823"/>
      <c r="L36" s="823"/>
      <c r="M36" s="823"/>
      <c r="N36" s="823"/>
      <c r="O36" s="850" t="str">
        <f>IF(NOT(QUOTE_Split_SoftwareHardware),
IF(QUOTE_DetailedPrices,QCalc!P15,QCalc!O15),
IF(QUOTE_DetailedPrices,QCalc!W15,QCalc!V15))</f>
        <v/>
      </c>
      <c r="P36" s="851"/>
      <c r="Q36" s="176" t="str">
        <f>IF($D36=0,0,IF(NOT(QUOTE_Split_SoftwareHardware),QCalc!R15,QCalc!Y15))</f>
        <v/>
      </c>
      <c r="R36" s="177" t="str">
        <f>IF($D36=0,0,
IF(NOT(QUOTE_Split_SoftwareHardware),QCalc!S15,QCalc!Z15)
)</f>
        <v/>
      </c>
      <c r="T36" s="84"/>
      <c r="U36" s="73" t="str">
        <f>IF(AND(V36&gt;0,V36&lt;&gt;"",AND(LEFT(X36,7)&lt;&gt;"   • Wi",LEFT(X36,7)&lt;&gt;"   • XL")),
COUNT($V$24:V36)
+IF(NOT(QUOTE_Split_SoftwareHardware),MAX($B$24:$B$54),0),"")</f>
        <v/>
      </c>
      <c r="V36" s="82" t="str">
        <f>IF(NOT(QUOTE_Split_SoftwareHardware),QCalc!Q46,QCalc!AE15)</f>
        <v/>
      </c>
      <c r="W36" s="82" t="str">
        <f t="shared" si="4"/>
        <v/>
      </c>
      <c r="X36" s="822" t="str">
        <f>IF(NOT(QUOTE_Split_SoftwareHardware),QCalc!N46,QCalc!AB15)</f>
        <v/>
      </c>
      <c r="Y36" s="823"/>
      <c r="Z36" s="823"/>
      <c r="AA36" s="823"/>
      <c r="AB36" s="823"/>
      <c r="AC36" s="823"/>
      <c r="AD36" s="823"/>
      <c r="AE36" s="823"/>
      <c r="AF36" s="823"/>
      <c r="AG36" s="823"/>
      <c r="AH36" s="824" t="str">
        <f>IF(NOT(QUOTE_Split_SoftwareHardware),
IF(QUOTE_DetailedPrices,QCalc!P46,QCalc!O46),
IF(QUOTE_DetailedPrices,QCalc!AD15,QCalc!AC15))</f>
        <v/>
      </c>
      <c r="AI36" s="825"/>
      <c r="AJ36" s="176" t="str">
        <f>IF($D36=0,0,IF(NOT(QUOTE_Split_SoftwareHardware),QCalc!R46,QCalc!AF15))</f>
        <v/>
      </c>
      <c r="AK36" s="177" t="str">
        <f>IF($D36=0,0,IF(NOT(QUOTE_Split_SoftwareHardware),QCalc!S46,QCalc!AG15))</f>
        <v/>
      </c>
    </row>
    <row r="37" spans="1:37" ht="11" customHeight="1" x14ac:dyDescent="0.2">
      <c r="A37" s="84"/>
      <c r="B37" s="73" t="str">
        <f>IF(AND(C37&gt;0,C37&lt;&gt;"",AND(LEFT(E37,7)&lt;&gt;"   • Wi",LEFT(E37,7)&lt;&gt;"   • XL")),
COUNT($C$24:C37),"")</f>
        <v/>
      </c>
      <c r="C37" s="82" t="str">
        <f>IF(NOT(QUOTE_Split_SoftwareHardware),QCalc!Q16,QCalc!X16)</f>
        <v/>
      </c>
      <c r="D37" s="121" t="str">
        <f t="shared" si="3"/>
        <v/>
      </c>
      <c r="E37" s="822" t="str">
        <f>IF(NOT(QUOTE_Split_SoftwareHardware),QCalc!N16,QCalc!U16)</f>
        <v/>
      </c>
      <c r="F37" s="823"/>
      <c r="G37" s="823"/>
      <c r="H37" s="823"/>
      <c r="I37" s="823"/>
      <c r="J37" s="823"/>
      <c r="K37" s="823"/>
      <c r="L37" s="823"/>
      <c r="M37" s="823"/>
      <c r="N37" s="823"/>
      <c r="O37" s="850" t="str">
        <f>IF(NOT(QUOTE_Split_SoftwareHardware),
IF(QUOTE_DetailedPrices,QCalc!P16,QCalc!O16),
IF(QUOTE_DetailedPrices,QCalc!W16,QCalc!V16))</f>
        <v/>
      </c>
      <c r="P37" s="851"/>
      <c r="Q37" s="176" t="str">
        <f>IF($D37=0,0,IF(NOT(QUOTE_Split_SoftwareHardware),QCalc!R16,QCalc!Y16))</f>
        <v/>
      </c>
      <c r="R37" s="177" t="str">
        <f>IF($D37=0,0,
IF(NOT(QUOTE_Split_SoftwareHardware),QCalc!S16,QCalc!Z16)
)</f>
        <v/>
      </c>
      <c r="T37" s="84"/>
      <c r="U37" s="73" t="str">
        <f>IF(AND(V37&gt;0,V37&lt;&gt;"",AND(LEFT(X37,7)&lt;&gt;"   • Wi",LEFT(X37,7)&lt;&gt;"   • XL")),
COUNT($V$24:V37)
+IF(NOT(QUOTE_Split_SoftwareHardware),MAX($B$24:$B$54),0),"")</f>
        <v/>
      </c>
      <c r="V37" s="82" t="str">
        <f>IF(NOT(QUOTE_Split_SoftwareHardware),QCalc!Q47,QCalc!AE16)</f>
        <v/>
      </c>
      <c r="W37" s="82" t="str">
        <f t="shared" si="4"/>
        <v/>
      </c>
      <c r="X37" s="822" t="str">
        <f>IF(NOT(QUOTE_Split_SoftwareHardware),QCalc!N47,QCalc!AB16)</f>
        <v/>
      </c>
      <c r="Y37" s="823"/>
      <c r="Z37" s="823"/>
      <c r="AA37" s="823"/>
      <c r="AB37" s="823"/>
      <c r="AC37" s="823"/>
      <c r="AD37" s="823"/>
      <c r="AE37" s="823"/>
      <c r="AF37" s="823"/>
      <c r="AG37" s="823"/>
      <c r="AH37" s="824" t="str">
        <f>IF(NOT(QUOTE_Split_SoftwareHardware),
IF(QUOTE_DetailedPrices,QCalc!P47,QCalc!O47),
IF(QUOTE_DetailedPrices,QCalc!AD16,QCalc!AC16))</f>
        <v/>
      </c>
      <c r="AI37" s="825"/>
      <c r="AJ37" s="176" t="str">
        <f>IF($D37=0,0,IF(NOT(QUOTE_Split_SoftwareHardware),QCalc!R47,QCalc!AF16))</f>
        <v/>
      </c>
      <c r="AK37" s="177" t="str">
        <f>IF($D37=0,0,IF(NOT(QUOTE_Split_SoftwareHardware),QCalc!S47,QCalc!AG16))</f>
        <v/>
      </c>
    </row>
    <row r="38" spans="1:37" ht="11" customHeight="1" x14ac:dyDescent="0.2">
      <c r="A38" s="84"/>
      <c r="B38" s="73" t="str">
        <f>IF(AND(C38&gt;0,C38&lt;&gt;"",AND(LEFT(E38,7)&lt;&gt;"   • Wi",LEFT(E38,7)&lt;&gt;"   • XL")),
COUNT($C$24:C38),"")</f>
        <v/>
      </c>
      <c r="C38" s="82" t="str">
        <f>IF(NOT(QUOTE_Split_SoftwareHardware),QCalc!Q17,QCalc!X17)</f>
        <v/>
      </c>
      <c r="D38" s="121" t="str">
        <f t="shared" si="3"/>
        <v/>
      </c>
      <c r="E38" s="822" t="str">
        <f>IF(NOT(QUOTE_Split_SoftwareHardware),QCalc!N17,QCalc!U17)</f>
        <v/>
      </c>
      <c r="F38" s="823"/>
      <c r="G38" s="823"/>
      <c r="H38" s="823"/>
      <c r="I38" s="823"/>
      <c r="J38" s="823"/>
      <c r="K38" s="823"/>
      <c r="L38" s="823"/>
      <c r="M38" s="823"/>
      <c r="N38" s="823"/>
      <c r="O38" s="850" t="str">
        <f>IF(NOT(QUOTE_Split_SoftwareHardware),
IF(QUOTE_DetailedPrices,QCalc!P17,QCalc!O17),
IF(QUOTE_DetailedPrices,QCalc!W17,QCalc!V17))</f>
        <v/>
      </c>
      <c r="P38" s="851"/>
      <c r="Q38" s="176" t="str">
        <f>IF($D38=0,0,IF(NOT(QUOTE_Split_SoftwareHardware),QCalc!R17,QCalc!Y17))</f>
        <v/>
      </c>
      <c r="R38" s="177" t="str">
        <f>IF($D38=0,0,
IF(NOT(QUOTE_Split_SoftwareHardware),QCalc!S17,QCalc!Z17)
)</f>
        <v/>
      </c>
      <c r="T38" s="84"/>
      <c r="U38" s="73" t="str">
        <f>IF(AND(V38&gt;0,V38&lt;&gt;"",AND(LEFT(X38,7)&lt;&gt;"   • Wi",LEFT(X38,7)&lt;&gt;"   • XL")),
COUNT($V$24:V38)
+IF(NOT(QUOTE_Split_SoftwareHardware),MAX($B$24:$B$54),0),"")</f>
        <v/>
      </c>
      <c r="V38" s="82" t="str">
        <f>IF(NOT(QUOTE_Split_SoftwareHardware),QCalc!Q48,QCalc!AE17)</f>
        <v/>
      </c>
      <c r="W38" s="82" t="str">
        <f t="shared" si="4"/>
        <v/>
      </c>
      <c r="X38" s="822" t="str">
        <f>IF(NOT(QUOTE_Split_SoftwareHardware),QCalc!N48,QCalc!AB17)</f>
        <v/>
      </c>
      <c r="Y38" s="823"/>
      <c r="Z38" s="823"/>
      <c r="AA38" s="823"/>
      <c r="AB38" s="823"/>
      <c r="AC38" s="823"/>
      <c r="AD38" s="823"/>
      <c r="AE38" s="823"/>
      <c r="AF38" s="823"/>
      <c r="AG38" s="823"/>
      <c r="AH38" s="824" t="str">
        <f>IF(NOT(QUOTE_Split_SoftwareHardware),
IF(QUOTE_DetailedPrices,QCalc!P48,QCalc!O48),
IF(QUOTE_DetailedPrices,QCalc!AD17,QCalc!AC17))</f>
        <v/>
      </c>
      <c r="AI38" s="825"/>
      <c r="AJ38" s="176" t="str">
        <f>IF($D38=0,0,IF(NOT(QUOTE_Split_SoftwareHardware),QCalc!R48,QCalc!AF17))</f>
        <v/>
      </c>
      <c r="AK38" s="177" t="str">
        <f>IF($D38=0,0,IF(NOT(QUOTE_Split_SoftwareHardware),QCalc!S48,QCalc!AG17))</f>
        <v/>
      </c>
    </row>
    <row r="39" spans="1:37" ht="11" customHeight="1" x14ac:dyDescent="0.2">
      <c r="A39" s="84"/>
      <c r="B39" s="73" t="str">
        <f>IF(AND(C39&gt;0,C39&lt;&gt;"",AND(LEFT(E39,7)&lt;&gt;"   • Wi",LEFT(E39,7)&lt;&gt;"   • XL")),
COUNT($C$24:C39),"")</f>
        <v/>
      </c>
      <c r="C39" s="82" t="str">
        <f>IF(NOT(QUOTE_Split_SoftwareHardware),QCalc!Q18,QCalc!X18)</f>
        <v/>
      </c>
      <c r="D39" s="121" t="str">
        <f t="shared" si="3"/>
        <v/>
      </c>
      <c r="E39" s="822" t="str">
        <f>IF(NOT(QUOTE_Split_SoftwareHardware),QCalc!N18,QCalc!U18)</f>
        <v/>
      </c>
      <c r="F39" s="823"/>
      <c r="G39" s="823"/>
      <c r="H39" s="823"/>
      <c r="I39" s="823"/>
      <c r="J39" s="823"/>
      <c r="K39" s="823"/>
      <c r="L39" s="823"/>
      <c r="M39" s="823"/>
      <c r="N39" s="823"/>
      <c r="O39" s="850" t="str">
        <f>IF(NOT(QUOTE_Split_SoftwareHardware),
IF(QUOTE_DetailedPrices,QCalc!P18,QCalc!O18),
IF(QUOTE_DetailedPrices,QCalc!W18,QCalc!V18))</f>
        <v/>
      </c>
      <c r="P39" s="851"/>
      <c r="Q39" s="176" t="str">
        <f>IF($D39=0,0,IF(NOT(QUOTE_Split_SoftwareHardware),QCalc!R18,QCalc!Y18))</f>
        <v/>
      </c>
      <c r="R39" s="177" t="str">
        <f>IF($D39=0,0,
IF(NOT(QUOTE_Split_SoftwareHardware),QCalc!S18,QCalc!Z18)
)</f>
        <v/>
      </c>
      <c r="T39" s="84"/>
      <c r="U39" s="73" t="str">
        <f>IF(AND(V39&gt;0,V39&lt;&gt;"",AND(LEFT(X39,7)&lt;&gt;"   • Wi",LEFT(X39,7)&lt;&gt;"   • XL")),
COUNT($V$24:V39)
+IF(NOT(QUOTE_Split_SoftwareHardware),MAX($B$24:$B$54),0),"")</f>
        <v/>
      </c>
      <c r="V39" s="82" t="str">
        <f>IF(NOT(QUOTE_Split_SoftwareHardware),QCalc!Q49,QCalc!AE18)</f>
        <v/>
      </c>
      <c r="W39" s="82" t="str">
        <f t="shared" si="4"/>
        <v/>
      </c>
      <c r="X39" s="822" t="str">
        <f>IF(NOT(QUOTE_Split_SoftwareHardware),QCalc!N49,QCalc!AB18)</f>
        <v/>
      </c>
      <c r="Y39" s="823"/>
      <c r="Z39" s="823"/>
      <c r="AA39" s="823"/>
      <c r="AB39" s="823"/>
      <c r="AC39" s="823"/>
      <c r="AD39" s="823"/>
      <c r="AE39" s="823"/>
      <c r="AF39" s="823"/>
      <c r="AG39" s="823"/>
      <c r="AH39" s="824" t="str">
        <f>IF(NOT(QUOTE_Split_SoftwareHardware),
IF(QUOTE_DetailedPrices,QCalc!P49,QCalc!O49),
IF(QUOTE_DetailedPrices,QCalc!AD18,QCalc!AC18))</f>
        <v/>
      </c>
      <c r="AI39" s="825"/>
      <c r="AJ39" s="176" t="str">
        <f>IF($D39=0,0,IF(NOT(QUOTE_Split_SoftwareHardware),QCalc!R49,QCalc!AF18))</f>
        <v/>
      </c>
      <c r="AK39" s="177" t="str">
        <f>IF($D39=0,0,IF(NOT(QUOTE_Split_SoftwareHardware),QCalc!S49,QCalc!AG18))</f>
        <v/>
      </c>
    </row>
    <row r="40" spans="1:37" ht="11" customHeight="1" x14ac:dyDescent="0.2">
      <c r="A40" s="84"/>
      <c r="B40" s="73" t="str">
        <f>IF(AND(C40&gt;0,C40&lt;&gt;"",AND(LEFT(E40,7)&lt;&gt;"   • Wi",LEFT(E40,7)&lt;&gt;"   • XL")),
COUNT($C$24:C40),"")</f>
        <v/>
      </c>
      <c r="C40" s="82" t="str">
        <f>IF(NOT(QUOTE_Split_SoftwareHardware),QCalc!Q19,QCalc!X19)</f>
        <v/>
      </c>
      <c r="D40" s="121" t="str">
        <f t="shared" si="3"/>
        <v/>
      </c>
      <c r="E40" s="822" t="str">
        <f>IF(NOT(QUOTE_Split_SoftwareHardware),QCalc!N19,QCalc!U19)</f>
        <v/>
      </c>
      <c r="F40" s="823"/>
      <c r="G40" s="823"/>
      <c r="H40" s="823"/>
      <c r="I40" s="823"/>
      <c r="J40" s="823"/>
      <c r="K40" s="823"/>
      <c r="L40" s="823"/>
      <c r="M40" s="823"/>
      <c r="N40" s="823"/>
      <c r="O40" s="850" t="str">
        <f>IF(NOT(QUOTE_Split_SoftwareHardware),
IF(QUOTE_DetailedPrices,QCalc!P19,QCalc!O19),
IF(QUOTE_DetailedPrices,QCalc!W19,QCalc!V19))</f>
        <v/>
      </c>
      <c r="P40" s="851"/>
      <c r="Q40" s="176" t="str">
        <f>IF($D40=0,0,IF(NOT(QUOTE_Split_SoftwareHardware),QCalc!R19,QCalc!Y19))</f>
        <v/>
      </c>
      <c r="R40" s="177" t="str">
        <f>IF($D40=0,0,
IF(NOT(QUOTE_Split_SoftwareHardware),QCalc!S19,QCalc!Z19)
)</f>
        <v/>
      </c>
      <c r="T40" s="84"/>
      <c r="U40" s="73" t="str">
        <f>IF(AND(V40&gt;0,V40&lt;&gt;"",AND(LEFT(X40,7)&lt;&gt;"   • Wi",LEFT(X40,7)&lt;&gt;"   • XL")),
COUNT($V$24:V40)
+IF(NOT(QUOTE_Split_SoftwareHardware),MAX($B$24:$B$54),0),"")</f>
        <v/>
      </c>
      <c r="V40" s="82" t="str">
        <f>IF(NOT(QUOTE_Split_SoftwareHardware),QCalc!Q50,QCalc!AE19)</f>
        <v/>
      </c>
      <c r="W40" s="82" t="str">
        <f t="shared" si="4"/>
        <v/>
      </c>
      <c r="X40" s="822" t="str">
        <f>IF(NOT(QUOTE_Split_SoftwareHardware),QCalc!N50,QCalc!AB19)</f>
        <v/>
      </c>
      <c r="Y40" s="823"/>
      <c r="Z40" s="823"/>
      <c r="AA40" s="823"/>
      <c r="AB40" s="823"/>
      <c r="AC40" s="823"/>
      <c r="AD40" s="823"/>
      <c r="AE40" s="823"/>
      <c r="AF40" s="823"/>
      <c r="AG40" s="823"/>
      <c r="AH40" s="824" t="str">
        <f>IF(NOT(QUOTE_Split_SoftwareHardware),
IF(QUOTE_DetailedPrices,QCalc!P50,QCalc!O50),
IF(QUOTE_DetailedPrices,QCalc!AD19,QCalc!AC19))</f>
        <v/>
      </c>
      <c r="AI40" s="825"/>
      <c r="AJ40" s="176" t="str">
        <f>IF($D40=0,0,IF(NOT(QUOTE_Split_SoftwareHardware),QCalc!R50,QCalc!AF19))</f>
        <v/>
      </c>
      <c r="AK40" s="177" t="str">
        <f>IF($D40=0,0,IF(NOT(QUOTE_Split_SoftwareHardware),QCalc!S50,QCalc!AG19))</f>
        <v/>
      </c>
    </row>
    <row r="41" spans="1:37" ht="11" customHeight="1" x14ac:dyDescent="0.2">
      <c r="A41" s="84"/>
      <c r="B41" s="73" t="str">
        <f>IF(AND(C41&gt;0,C41&lt;&gt;"",AND(LEFT(E41,7)&lt;&gt;"   • Wi",LEFT(E41,7)&lt;&gt;"   • XL")),
COUNT($C$24:C41),"")</f>
        <v/>
      </c>
      <c r="C41" s="82" t="str">
        <f>IF(NOT(QUOTE_Split_SoftwareHardware),QCalc!Q20,QCalc!X20)</f>
        <v/>
      </c>
      <c r="D41" s="121" t="str">
        <f t="shared" si="3"/>
        <v/>
      </c>
      <c r="E41" s="822" t="str">
        <f>IF(NOT(QUOTE_Split_SoftwareHardware),QCalc!N20,QCalc!U20)</f>
        <v/>
      </c>
      <c r="F41" s="823"/>
      <c r="G41" s="823"/>
      <c r="H41" s="823"/>
      <c r="I41" s="823"/>
      <c r="J41" s="823"/>
      <c r="K41" s="823"/>
      <c r="L41" s="823"/>
      <c r="M41" s="823"/>
      <c r="N41" s="823"/>
      <c r="O41" s="850" t="str">
        <f>IF(NOT(QUOTE_Split_SoftwareHardware),
IF(QUOTE_DetailedPrices,QCalc!P20,QCalc!O20),
IF(QUOTE_DetailedPrices,QCalc!W20,QCalc!V20))</f>
        <v/>
      </c>
      <c r="P41" s="851"/>
      <c r="Q41" s="176" t="str">
        <f>IF($D41=0,0,IF(NOT(QUOTE_Split_SoftwareHardware),QCalc!R20,QCalc!Y20))</f>
        <v/>
      </c>
      <c r="R41" s="177" t="str">
        <f>IF($D41=0,0,
IF(NOT(QUOTE_Split_SoftwareHardware),QCalc!S20,QCalc!Z20)
)</f>
        <v/>
      </c>
      <c r="T41" s="84"/>
      <c r="U41" s="73" t="str">
        <f>IF(AND(V41&gt;0,V41&lt;&gt;"",AND(LEFT(X41,7)&lt;&gt;"   • Wi",LEFT(X41,7)&lt;&gt;"   • XL")),
COUNT($V$24:V41)
+IF(NOT(QUOTE_Split_SoftwareHardware),MAX($B$24:$B$54),0),"")</f>
        <v/>
      </c>
      <c r="V41" s="82" t="str">
        <f>IF(NOT(QUOTE_Split_SoftwareHardware),QCalc!Q51,QCalc!AE20)</f>
        <v/>
      </c>
      <c r="W41" s="82" t="str">
        <f t="shared" si="4"/>
        <v/>
      </c>
      <c r="X41" s="822" t="str">
        <f>IF(NOT(QUOTE_Split_SoftwareHardware),QCalc!N51,QCalc!AB20)</f>
        <v/>
      </c>
      <c r="Y41" s="823"/>
      <c r="Z41" s="823"/>
      <c r="AA41" s="823"/>
      <c r="AB41" s="823"/>
      <c r="AC41" s="823"/>
      <c r="AD41" s="823"/>
      <c r="AE41" s="823"/>
      <c r="AF41" s="823"/>
      <c r="AG41" s="823"/>
      <c r="AH41" s="824" t="str">
        <f>IF(NOT(QUOTE_Split_SoftwareHardware),
IF(QUOTE_DetailedPrices,QCalc!P51,QCalc!O51),
IF(QUOTE_DetailedPrices,QCalc!AD20,QCalc!AC20))</f>
        <v/>
      </c>
      <c r="AI41" s="825"/>
      <c r="AJ41" s="176" t="str">
        <f>IF($D41=0,0,IF(NOT(QUOTE_Split_SoftwareHardware),QCalc!R51,QCalc!AF20))</f>
        <v/>
      </c>
      <c r="AK41" s="177" t="str">
        <f>IF($D41=0,0,IF(NOT(QUOTE_Split_SoftwareHardware),QCalc!S51,QCalc!AG20))</f>
        <v/>
      </c>
    </row>
    <row r="42" spans="1:37" ht="11" customHeight="1" x14ac:dyDescent="0.2">
      <c r="A42" s="84"/>
      <c r="B42" s="73" t="str">
        <f>IF(AND(C42&gt;0,C42&lt;&gt;"",AND(LEFT(E42,7)&lt;&gt;"   • Wi",LEFT(E42,7)&lt;&gt;"   • XL")),
COUNT($C$24:C42),"")</f>
        <v/>
      </c>
      <c r="C42" s="82" t="str">
        <f>IF(NOT(QUOTE_Split_SoftwareHardware),QCalc!Q21,QCalc!X21)</f>
        <v/>
      </c>
      <c r="D42" s="121" t="str">
        <f t="shared" si="3"/>
        <v/>
      </c>
      <c r="E42" s="822" t="str">
        <f>IF(NOT(QUOTE_Split_SoftwareHardware),QCalc!N21,QCalc!U21)</f>
        <v/>
      </c>
      <c r="F42" s="823"/>
      <c r="G42" s="823"/>
      <c r="H42" s="823"/>
      <c r="I42" s="823"/>
      <c r="J42" s="823"/>
      <c r="K42" s="823"/>
      <c r="L42" s="823"/>
      <c r="M42" s="823"/>
      <c r="N42" s="823"/>
      <c r="O42" s="850" t="str">
        <f>IF(NOT(QUOTE_Split_SoftwareHardware),
IF(QUOTE_DetailedPrices,QCalc!P21,QCalc!O21),
IF(QUOTE_DetailedPrices,QCalc!W21,QCalc!V21))</f>
        <v/>
      </c>
      <c r="P42" s="851"/>
      <c r="Q42" s="176" t="str">
        <f>IF($D42=0,0,IF(NOT(QUOTE_Split_SoftwareHardware),QCalc!R21,QCalc!Y21))</f>
        <v/>
      </c>
      <c r="R42" s="177" t="str">
        <f>IF($D42=0,0,
IF(NOT(QUOTE_Split_SoftwareHardware),QCalc!S21,QCalc!Z21)
)</f>
        <v/>
      </c>
      <c r="T42" s="84"/>
      <c r="U42" s="73" t="str">
        <f>IF(AND(V42&gt;0,V42&lt;&gt;"",AND(LEFT(X42,7)&lt;&gt;"   • Wi",LEFT(X42,7)&lt;&gt;"   • XL")),
COUNT($V$24:V42)
+IF(NOT(QUOTE_Split_SoftwareHardware),MAX($B$24:$B$54),0),"")</f>
        <v/>
      </c>
      <c r="V42" s="82" t="str">
        <f>IF(NOT(QUOTE_Split_SoftwareHardware),QCalc!Q52,QCalc!AE21)</f>
        <v/>
      </c>
      <c r="W42" s="82" t="str">
        <f t="shared" si="4"/>
        <v/>
      </c>
      <c r="X42" s="822" t="str">
        <f>IF(NOT(QUOTE_Split_SoftwareHardware),QCalc!N52,QCalc!AB21)</f>
        <v/>
      </c>
      <c r="Y42" s="823"/>
      <c r="Z42" s="823"/>
      <c r="AA42" s="823"/>
      <c r="AB42" s="823"/>
      <c r="AC42" s="823"/>
      <c r="AD42" s="823"/>
      <c r="AE42" s="823"/>
      <c r="AF42" s="823"/>
      <c r="AG42" s="823"/>
      <c r="AH42" s="824" t="str">
        <f>IF(NOT(QUOTE_Split_SoftwareHardware),
IF(QUOTE_DetailedPrices,QCalc!P52,QCalc!O52),
IF(QUOTE_DetailedPrices,QCalc!AD21,QCalc!AC21))</f>
        <v/>
      </c>
      <c r="AI42" s="825"/>
      <c r="AJ42" s="176" t="str">
        <f>IF($D42=0,0,IF(NOT(QUOTE_Split_SoftwareHardware),QCalc!R52,QCalc!AF21))</f>
        <v/>
      </c>
      <c r="AK42" s="177" t="str">
        <f>IF($D42=0,0,IF(NOT(QUOTE_Split_SoftwareHardware),QCalc!S52,QCalc!AG21))</f>
        <v/>
      </c>
    </row>
    <row r="43" spans="1:37" ht="11" customHeight="1" x14ac:dyDescent="0.2">
      <c r="A43" s="84"/>
      <c r="B43" s="73" t="str">
        <f>IF(AND(C43&gt;0,C43&lt;&gt;"",AND(LEFT(E43,7)&lt;&gt;"   • Wi",LEFT(E43,7)&lt;&gt;"   • XL")),
COUNT($C$24:C43),"")</f>
        <v/>
      </c>
      <c r="C43" s="82" t="str">
        <f>IF(NOT(QUOTE_Split_SoftwareHardware),QCalc!Q22,QCalc!X22)</f>
        <v/>
      </c>
      <c r="D43" s="121" t="str">
        <f t="shared" si="3"/>
        <v/>
      </c>
      <c r="E43" s="822" t="str">
        <f>IF(NOT(QUOTE_Split_SoftwareHardware),QCalc!N22,QCalc!U22)</f>
        <v/>
      </c>
      <c r="F43" s="823"/>
      <c r="G43" s="823"/>
      <c r="H43" s="823"/>
      <c r="I43" s="823"/>
      <c r="J43" s="823"/>
      <c r="K43" s="823"/>
      <c r="L43" s="823"/>
      <c r="M43" s="823"/>
      <c r="N43" s="823"/>
      <c r="O43" s="850" t="str">
        <f>IF(NOT(QUOTE_Split_SoftwareHardware),
IF(QUOTE_DetailedPrices,QCalc!P22,QCalc!O22),
IF(QUOTE_DetailedPrices,QCalc!W22,QCalc!V22))</f>
        <v/>
      </c>
      <c r="P43" s="851"/>
      <c r="Q43" s="176" t="str">
        <f>IF($D43=0,0,IF(NOT(QUOTE_Split_SoftwareHardware),QCalc!R22,QCalc!Y22))</f>
        <v/>
      </c>
      <c r="R43" s="177" t="str">
        <f>IF($D43=0,0,
IF(NOT(QUOTE_Split_SoftwareHardware),QCalc!S22,QCalc!Z22)
)</f>
        <v/>
      </c>
      <c r="T43" s="84"/>
      <c r="U43" s="73" t="str">
        <f>IF(AND(V43&gt;0,V43&lt;&gt;"",AND(LEFT(X43,7)&lt;&gt;"   • Wi",LEFT(X43,7)&lt;&gt;"   • XL")),
COUNT($V$24:V43)
+IF(NOT(QUOTE_Split_SoftwareHardware),MAX($B$24:$B$54),0),"")</f>
        <v/>
      </c>
      <c r="V43" s="82" t="str">
        <f>IF(NOT(QUOTE_Split_SoftwareHardware),QCalc!Q53,QCalc!AE22)</f>
        <v/>
      </c>
      <c r="W43" s="82" t="str">
        <f t="shared" si="4"/>
        <v/>
      </c>
      <c r="X43" s="822" t="str">
        <f>IF(NOT(QUOTE_Split_SoftwareHardware),QCalc!N53,QCalc!AB22)</f>
        <v/>
      </c>
      <c r="Y43" s="823"/>
      <c r="Z43" s="823"/>
      <c r="AA43" s="823"/>
      <c r="AB43" s="823"/>
      <c r="AC43" s="823"/>
      <c r="AD43" s="823"/>
      <c r="AE43" s="823"/>
      <c r="AF43" s="823"/>
      <c r="AG43" s="823"/>
      <c r="AH43" s="824" t="str">
        <f>IF(NOT(QUOTE_Split_SoftwareHardware),
IF(QUOTE_DetailedPrices,QCalc!P53,QCalc!O53),
IF(QUOTE_DetailedPrices,QCalc!AD22,QCalc!AC22))</f>
        <v/>
      </c>
      <c r="AI43" s="825"/>
      <c r="AJ43" s="176" t="str">
        <f>IF($D43=0,0,IF(NOT(QUOTE_Split_SoftwareHardware),QCalc!R53,QCalc!AF22))</f>
        <v/>
      </c>
      <c r="AK43" s="177" t="str">
        <f>IF($D43=0,0,IF(NOT(QUOTE_Split_SoftwareHardware),QCalc!S53,QCalc!AG22))</f>
        <v/>
      </c>
    </row>
    <row r="44" spans="1:37" ht="11" customHeight="1" x14ac:dyDescent="0.2">
      <c r="A44" s="84"/>
      <c r="B44" s="73" t="str">
        <f>IF(AND(C44&gt;0,C44&lt;&gt;"",AND(LEFT(E44,7)&lt;&gt;"   • Wi",LEFT(E44,7)&lt;&gt;"   • XL")),
COUNT($C$24:C44),"")</f>
        <v/>
      </c>
      <c r="C44" s="82" t="str">
        <f>IF(NOT(QUOTE_Split_SoftwareHardware),QCalc!Q23,QCalc!X23)</f>
        <v/>
      </c>
      <c r="D44" s="121" t="str">
        <f t="shared" si="3"/>
        <v/>
      </c>
      <c r="E44" s="822" t="str">
        <f>IF(NOT(QUOTE_Split_SoftwareHardware),QCalc!N23,QCalc!U23)</f>
        <v/>
      </c>
      <c r="F44" s="823"/>
      <c r="G44" s="823"/>
      <c r="H44" s="823"/>
      <c r="I44" s="823"/>
      <c r="J44" s="823"/>
      <c r="K44" s="823"/>
      <c r="L44" s="823"/>
      <c r="M44" s="823"/>
      <c r="N44" s="823"/>
      <c r="O44" s="850" t="str">
        <f>IF(NOT(QUOTE_Split_SoftwareHardware),
IF(QUOTE_DetailedPrices,QCalc!P23,QCalc!O23),
IF(QUOTE_DetailedPrices,QCalc!W23,QCalc!V23))</f>
        <v/>
      </c>
      <c r="P44" s="851"/>
      <c r="Q44" s="176" t="str">
        <f>IF($D44=0,0,IF(NOT(QUOTE_Split_SoftwareHardware),QCalc!R23,QCalc!Y23))</f>
        <v/>
      </c>
      <c r="R44" s="177" t="str">
        <f>IF($D44=0,0,
IF(NOT(QUOTE_Split_SoftwareHardware),QCalc!S23,QCalc!Z23)
)</f>
        <v/>
      </c>
      <c r="T44" s="84"/>
      <c r="U44" s="73" t="str">
        <f>IF(AND(V44&gt;0,V44&lt;&gt;"",AND(LEFT(X44,7)&lt;&gt;"   • Wi",LEFT(X44,7)&lt;&gt;"   • XL")),
COUNT($V$24:V44)
+IF(NOT(QUOTE_Split_SoftwareHardware),MAX($B$24:$B$54),0),"")</f>
        <v/>
      </c>
      <c r="V44" s="82" t="str">
        <f>IF(NOT(QUOTE_Split_SoftwareHardware),QCalc!Q54,QCalc!AE23)</f>
        <v/>
      </c>
      <c r="W44" s="82" t="str">
        <f t="shared" si="4"/>
        <v/>
      </c>
      <c r="X44" s="822" t="str">
        <f>IF(NOT(QUOTE_Split_SoftwareHardware),QCalc!N54,QCalc!AB23)</f>
        <v/>
      </c>
      <c r="Y44" s="823"/>
      <c r="Z44" s="823"/>
      <c r="AA44" s="823"/>
      <c r="AB44" s="823"/>
      <c r="AC44" s="823"/>
      <c r="AD44" s="823"/>
      <c r="AE44" s="823"/>
      <c r="AF44" s="823"/>
      <c r="AG44" s="823"/>
      <c r="AH44" s="824" t="str">
        <f>IF(NOT(QUOTE_Split_SoftwareHardware),
IF(QUOTE_DetailedPrices,QCalc!P54,QCalc!O54),
IF(QUOTE_DetailedPrices,QCalc!AD23,QCalc!AC23))</f>
        <v/>
      </c>
      <c r="AI44" s="825"/>
      <c r="AJ44" s="176" t="str">
        <f>IF($D44=0,0,IF(NOT(QUOTE_Split_SoftwareHardware),QCalc!R54,QCalc!AF23))</f>
        <v/>
      </c>
      <c r="AK44" s="177" t="str">
        <f>IF($D44=0,0,IF(NOT(QUOTE_Split_SoftwareHardware),QCalc!S54,QCalc!AG23))</f>
        <v/>
      </c>
    </row>
    <row r="45" spans="1:37" ht="11" customHeight="1" x14ac:dyDescent="0.2">
      <c r="A45" s="84"/>
      <c r="B45" s="73" t="str">
        <f>IF(AND(C45&gt;0,C45&lt;&gt;"",AND(LEFT(E45,7)&lt;&gt;"   • Wi",LEFT(E45,7)&lt;&gt;"   • XL")),
COUNT($C$24:C45),"")</f>
        <v/>
      </c>
      <c r="C45" s="82" t="str">
        <f>IF(NOT(QUOTE_Split_SoftwareHardware),QCalc!Q24,QCalc!X24)</f>
        <v/>
      </c>
      <c r="D45" s="121" t="str">
        <f t="shared" si="3"/>
        <v/>
      </c>
      <c r="E45" s="822" t="str">
        <f>IF(NOT(QUOTE_Split_SoftwareHardware),QCalc!N24,QCalc!U24)</f>
        <v/>
      </c>
      <c r="F45" s="823"/>
      <c r="G45" s="823"/>
      <c r="H45" s="823"/>
      <c r="I45" s="823"/>
      <c r="J45" s="823"/>
      <c r="K45" s="823"/>
      <c r="L45" s="823"/>
      <c r="M45" s="823"/>
      <c r="N45" s="823"/>
      <c r="O45" s="850" t="str">
        <f>IF(NOT(QUOTE_Split_SoftwareHardware),
IF(QUOTE_DetailedPrices,QCalc!P24,QCalc!O24),
IF(QUOTE_DetailedPrices,QCalc!W24,QCalc!V24))</f>
        <v/>
      </c>
      <c r="P45" s="851"/>
      <c r="Q45" s="176" t="str">
        <f>IF($D45=0,0,IF(NOT(QUOTE_Split_SoftwareHardware),QCalc!R24,QCalc!Y24))</f>
        <v/>
      </c>
      <c r="R45" s="177" t="str">
        <f>IF($D45=0,0,
IF(NOT(QUOTE_Split_SoftwareHardware),QCalc!S24,QCalc!Z24)
)</f>
        <v/>
      </c>
      <c r="T45" s="84"/>
      <c r="U45" s="73" t="str">
        <f>IF(AND(V45&gt;0,V45&lt;&gt;"",AND(LEFT(X45,7)&lt;&gt;"   • Wi",LEFT(X45,7)&lt;&gt;"   • XL")),
COUNT($V$24:V45)
+IF(NOT(QUOTE_Split_SoftwareHardware),MAX($B$24:$B$54),0),"")</f>
        <v/>
      </c>
      <c r="V45" s="82" t="str">
        <f>IF(NOT(QUOTE_Split_SoftwareHardware),QCalc!Q55,QCalc!AE24)</f>
        <v/>
      </c>
      <c r="W45" s="82" t="str">
        <f t="shared" si="4"/>
        <v/>
      </c>
      <c r="X45" s="822" t="str">
        <f>IF(NOT(QUOTE_Split_SoftwareHardware),QCalc!N55,QCalc!AB24)</f>
        <v/>
      </c>
      <c r="Y45" s="823"/>
      <c r="Z45" s="823"/>
      <c r="AA45" s="823"/>
      <c r="AB45" s="823"/>
      <c r="AC45" s="823"/>
      <c r="AD45" s="823"/>
      <c r="AE45" s="823"/>
      <c r="AF45" s="823"/>
      <c r="AG45" s="823"/>
      <c r="AH45" s="824" t="str">
        <f>IF(NOT(QUOTE_Split_SoftwareHardware),
IF(QUOTE_DetailedPrices,QCalc!P55,QCalc!O55),
IF(QUOTE_DetailedPrices,QCalc!AD24,QCalc!AC24))</f>
        <v/>
      </c>
      <c r="AI45" s="825"/>
      <c r="AJ45" s="176" t="str">
        <f>IF($D45=0,0,IF(NOT(QUOTE_Split_SoftwareHardware),QCalc!R55,QCalc!AF24))</f>
        <v/>
      </c>
      <c r="AK45" s="177" t="str">
        <f>IF($D45=0,0,IF(NOT(QUOTE_Split_SoftwareHardware),QCalc!S55,QCalc!AG24))</f>
        <v/>
      </c>
    </row>
    <row r="46" spans="1:37" ht="11" customHeight="1" x14ac:dyDescent="0.2">
      <c r="A46" s="84"/>
      <c r="B46" s="73" t="str">
        <f>IF(AND(C46&gt;0,C46&lt;&gt;"",AND(LEFT(E46,7)&lt;&gt;"   • Wi",LEFT(E46,7)&lt;&gt;"   • XL")),
COUNT($C$24:C46),"")</f>
        <v/>
      </c>
      <c r="C46" s="82" t="str">
        <f>IF(NOT(QUOTE_Split_SoftwareHardware),QCalc!Q25,QCalc!X25)</f>
        <v/>
      </c>
      <c r="D46" s="121" t="str">
        <f t="shared" si="3"/>
        <v/>
      </c>
      <c r="E46" s="822" t="str">
        <f>IF(NOT(QUOTE_Split_SoftwareHardware),QCalc!N25,QCalc!U25)</f>
        <v/>
      </c>
      <c r="F46" s="823"/>
      <c r="G46" s="823"/>
      <c r="H46" s="823"/>
      <c r="I46" s="823"/>
      <c r="J46" s="823"/>
      <c r="K46" s="823"/>
      <c r="L46" s="823"/>
      <c r="M46" s="823"/>
      <c r="N46" s="823"/>
      <c r="O46" s="850" t="str">
        <f>IF(NOT(QUOTE_Split_SoftwareHardware),
IF(QUOTE_DetailedPrices,QCalc!P25,QCalc!O25),
IF(QUOTE_DetailedPrices,QCalc!W25,QCalc!V25))</f>
        <v/>
      </c>
      <c r="P46" s="851"/>
      <c r="Q46" s="176" t="str">
        <f>IF($D46=0,0,IF(NOT(QUOTE_Split_SoftwareHardware),QCalc!R25,QCalc!Y25))</f>
        <v/>
      </c>
      <c r="R46" s="177" t="str">
        <f>IF($D46=0,0,
IF(NOT(QUOTE_Split_SoftwareHardware),QCalc!S25,QCalc!Z25)
)</f>
        <v/>
      </c>
      <c r="T46" s="84"/>
      <c r="U46" s="73" t="str">
        <f>IF(AND(V46&gt;0,V46&lt;&gt;"",AND(LEFT(X46,7)&lt;&gt;"   • Wi",LEFT(X46,7)&lt;&gt;"   • XL")),
COUNT($V$24:V46)
+IF(NOT(QUOTE_Split_SoftwareHardware),MAX($B$24:$B$54),0),"")</f>
        <v/>
      </c>
      <c r="V46" s="82" t="str">
        <f>IF(NOT(QUOTE_Split_SoftwareHardware),QCalc!Q56,QCalc!AE25)</f>
        <v/>
      </c>
      <c r="W46" s="82" t="str">
        <f t="shared" si="4"/>
        <v/>
      </c>
      <c r="X46" s="822" t="str">
        <f>IF(NOT(QUOTE_Split_SoftwareHardware),QCalc!N56,QCalc!AB25)</f>
        <v/>
      </c>
      <c r="Y46" s="823"/>
      <c r="Z46" s="823"/>
      <c r="AA46" s="823"/>
      <c r="AB46" s="823"/>
      <c r="AC46" s="823"/>
      <c r="AD46" s="823"/>
      <c r="AE46" s="823"/>
      <c r="AF46" s="823"/>
      <c r="AG46" s="823"/>
      <c r="AH46" s="824" t="str">
        <f>IF(NOT(QUOTE_Split_SoftwareHardware),
IF(QUOTE_DetailedPrices,QCalc!P56,QCalc!O56),
IF(QUOTE_DetailedPrices,QCalc!AD25,QCalc!AC25))</f>
        <v/>
      </c>
      <c r="AI46" s="825"/>
      <c r="AJ46" s="176" t="str">
        <f>IF($D46=0,0,IF(NOT(QUOTE_Split_SoftwareHardware),QCalc!R56,QCalc!AF25))</f>
        <v/>
      </c>
      <c r="AK46" s="177" t="str">
        <f>IF($D46=0,0,IF(NOT(QUOTE_Split_SoftwareHardware),QCalc!S56,QCalc!AG25))</f>
        <v/>
      </c>
    </row>
    <row r="47" spans="1:37" ht="11" customHeight="1" x14ac:dyDescent="0.2">
      <c r="A47" s="84"/>
      <c r="B47" s="73" t="str">
        <f>IF(AND(C47&gt;0,C47&lt;&gt;"",AND(LEFT(E47,7)&lt;&gt;"   • Wi",LEFT(E47,7)&lt;&gt;"   • XL")),
COUNT($C$24:C47),"")</f>
        <v/>
      </c>
      <c r="C47" s="82" t="str">
        <f>IF(NOT(QUOTE_Split_SoftwareHardware),QCalc!Q26,QCalc!X26)</f>
        <v/>
      </c>
      <c r="D47" s="121" t="str">
        <f t="shared" si="3"/>
        <v/>
      </c>
      <c r="E47" s="822" t="str">
        <f>IF(NOT(QUOTE_Split_SoftwareHardware),QCalc!N26,QCalc!U26)</f>
        <v/>
      </c>
      <c r="F47" s="823"/>
      <c r="G47" s="823"/>
      <c r="H47" s="823"/>
      <c r="I47" s="823"/>
      <c r="J47" s="823"/>
      <c r="K47" s="823"/>
      <c r="L47" s="823"/>
      <c r="M47" s="823"/>
      <c r="N47" s="823"/>
      <c r="O47" s="850" t="str">
        <f>IF(NOT(QUOTE_Split_SoftwareHardware),
IF(QUOTE_DetailedPrices,QCalc!P26,QCalc!O26),
IF(QUOTE_DetailedPrices,QCalc!W26,QCalc!V26))</f>
        <v/>
      </c>
      <c r="P47" s="851"/>
      <c r="Q47" s="176" t="str">
        <f>IF($D47=0,0,IF(NOT(QUOTE_Split_SoftwareHardware),QCalc!R26,QCalc!Y26))</f>
        <v/>
      </c>
      <c r="R47" s="177" t="str">
        <f>IF($D47=0,0,
IF(NOT(QUOTE_Split_SoftwareHardware),QCalc!S26,QCalc!Z26)
)</f>
        <v/>
      </c>
      <c r="T47" s="84"/>
      <c r="U47" s="73" t="str">
        <f>IF(AND(V47&gt;0,V47&lt;&gt;"",AND(LEFT(X47,7)&lt;&gt;"   • Wi",LEFT(X47,7)&lt;&gt;"   • XL")),
COUNT($V$24:V47)
+IF(NOT(QUOTE_Split_SoftwareHardware),MAX($B$24:$B$54),0),"")</f>
        <v/>
      </c>
      <c r="V47" s="82" t="str">
        <f>IF(NOT(QUOTE_Split_SoftwareHardware),QCalc!Q57,QCalc!AE26)</f>
        <v/>
      </c>
      <c r="W47" s="82" t="str">
        <f t="shared" si="4"/>
        <v/>
      </c>
      <c r="X47" s="822" t="str">
        <f>IF(NOT(QUOTE_Split_SoftwareHardware),QCalc!N57,QCalc!AB26)</f>
        <v/>
      </c>
      <c r="Y47" s="823"/>
      <c r="Z47" s="823"/>
      <c r="AA47" s="823"/>
      <c r="AB47" s="823"/>
      <c r="AC47" s="823"/>
      <c r="AD47" s="823"/>
      <c r="AE47" s="823"/>
      <c r="AF47" s="823"/>
      <c r="AG47" s="823"/>
      <c r="AH47" s="824" t="str">
        <f>IF(NOT(QUOTE_Split_SoftwareHardware),
IF(QUOTE_DetailedPrices,QCalc!P57,QCalc!O57),
IF(QUOTE_DetailedPrices,QCalc!AD26,QCalc!AC26))</f>
        <v/>
      </c>
      <c r="AI47" s="825"/>
      <c r="AJ47" s="176" t="str">
        <f>IF($D47=0,0,IF(NOT(QUOTE_Split_SoftwareHardware),QCalc!R57,QCalc!AF26))</f>
        <v/>
      </c>
      <c r="AK47" s="177" t="str">
        <f>IF($D47=0,0,IF(NOT(QUOTE_Split_SoftwareHardware),QCalc!S57,QCalc!AG26))</f>
        <v/>
      </c>
    </row>
    <row r="48" spans="1:37" ht="11" customHeight="1" x14ac:dyDescent="0.2">
      <c r="A48" s="84"/>
      <c r="B48" s="73" t="str">
        <f>IF(AND(C48&gt;0,C48&lt;&gt;"",AND(LEFT(E48,7)&lt;&gt;"   • Wi",LEFT(E48,7)&lt;&gt;"   • XL")),
COUNT($C$24:C48),"")</f>
        <v/>
      </c>
      <c r="C48" s="82" t="str">
        <f>IF(NOT(QUOTE_Split_SoftwareHardware),QCalc!Q27,QCalc!X27)</f>
        <v/>
      </c>
      <c r="D48" s="121" t="str">
        <f t="shared" si="3"/>
        <v/>
      </c>
      <c r="E48" s="822" t="str">
        <f>IF(NOT(QUOTE_Split_SoftwareHardware),QCalc!N27,QCalc!U27)</f>
        <v/>
      </c>
      <c r="F48" s="823"/>
      <c r="G48" s="823"/>
      <c r="H48" s="823"/>
      <c r="I48" s="823"/>
      <c r="J48" s="823"/>
      <c r="K48" s="823"/>
      <c r="L48" s="823"/>
      <c r="M48" s="823"/>
      <c r="N48" s="823"/>
      <c r="O48" s="850" t="str">
        <f>IF(NOT(QUOTE_Split_SoftwareHardware),
IF(QUOTE_DetailedPrices,QCalc!P27,QCalc!O27),
IF(QUOTE_DetailedPrices,QCalc!W27,QCalc!V27))</f>
        <v/>
      </c>
      <c r="P48" s="851"/>
      <c r="Q48" s="176" t="str">
        <f>IF($D48=0,0,IF(NOT(QUOTE_Split_SoftwareHardware),QCalc!R27,QCalc!Y27))</f>
        <v/>
      </c>
      <c r="R48" s="177" t="str">
        <f>IF($D48=0,0,
IF(NOT(QUOTE_Split_SoftwareHardware),QCalc!S27,QCalc!Z27)
)</f>
        <v/>
      </c>
      <c r="T48" s="84"/>
      <c r="U48" s="73" t="str">
        <f>IF(AND(V48&gt;0,V48&lt;&gt;"",AND(LEFT(X48,7)&lt;&gt;"   • Wi",LEFT(X48,7)&lt;&gt;"   • XL")),
COUNT($V$24:V48)
+IF(NOT(QUOTE_Split_SoftwareHardware),MAX($B$24:$B$54),0),"")</f>
        <v/>
      </c>
      <c r="V48" s="82" t="str">
        <f>IF(NOT(QUOTE_Split_SoftwareHardware),QCalc!Q58,QCalc!AE27)</f>
        <v/>
      </c>
      <c r="W48" s="82" t="str">
        <f t="shared" si="4"/>
        <v/>
      </c>
      <c r="X48" s="822" t="str">
        <f>IF(NOT(QUOTE_Split_SoftwareHardware),QCalc!N58,QCalc!AB27)</f>
        <v/>
      </c>
      <c r="Y48" s="823"/>
      <c r="Z48" s="823"/>
      <c r="AA48" s="823"/>
      <c r="AB48" s="823"/>
      <c r="AC48" s="823"/>
      <c r="AD48" s="823"/>
      <c r="AE48" s="823"/>
      <c r="AF48" s="823"/>
      <c r="AG48" s="823"/>
      <c r="AH48" s="824" t="str">
        <f>IF(NOT(QUOTE_Split_SoftwareHardware),
IF(QUOTE_DetailedPrices,QCalc!P58,QCalc!O58),
IF(QUOTE_DetailedPrices,QCalc!AD27,QCalc!AC27))</f>
        <v/>
      </c>
      <c r="AI48" s="825"/>
      <c r="AJ48" s="176" t="str">
        <f>IF($D48=0,0,IF(NOT(QUOTE_Split_SoftwareHardware),QCalc!R58,QCalc!AF27))</f>
        <v/>
      </c>
      <c r="AK48" s="177" t="str">
        <f>IF($D48=0,0,IF(NOT(QUOTE_Split_SoftwareHardware),QCalc!S58,QCalc!AG27))</f>
        <v/>
      </c>
    </row>
    <row r="49" spans="1:37" ht="11" customHeight="1" x14ac:dyDescent="0.2">
      <c r="A49" s="84"/>
      <c r="B49" s="73" t="str">
        <f>IF(AND(C49&gt;0,C49&lt;&gt;"",AND(LEFT(E49,7)&lt;&gt;"   • Wi",LEFT(E49,7)&lt;&gt;"   • XL")),
COUNT($C$24:C49),"")</f>
        <v/>
      </c>
      <c r="C49" s="82" t="str">
        <f>IF(NOT(QUOTE_Split_SoftwareHardware),QCalc!Q28,QCalc!X28)</f>
        <v/>
      </c>
      <c r="D49" s="121" t="str">
        <f t="shared" si="3"/>
        <v/>
      </c>
      <c r="E49" s="822" t="str">
        <f>IF(NOT(QUOTE_Split_SoftwareHardware),QCalc!N28,QCalc!U28)</f>
        <v/>
      </c>
      <c r="F49" s="823"/>
      <c r="G49" s="823"/>
      <c r="H49" s="823"/>
      <c r="I49" s="823"/>
      <c r="J49" s="823"/>
      <c r="K49" s="823"/>
      <c r="L49" s="823"/>
      <c r="M49" s="823"/>
      <c r="N49" s="823"/>
      <c r="O49" s="850" t="str">
        <f>IF(NOT(QUOTE_Split_SoftwareHardware),
IF(QUOTE_DetailedPrices,QCalc!P28,QCalc!O28),
IF(QUOTE_DetailedPrices,QCalc!W28,QCalc!V28))</f>
        <v/>
      </c>
      <c r="P49" s="851"/>
      <c r="Q49" s="176" t="str">
        <f>IF($D49=0,0,IF(NOT(QUOTE_Split_SoftwareHardware),QCalc!R28,QCalc!Y28))</f>
        <v/>
      </c>
      <c r="R49" s="177" t="str">
        <f>IF($D49=0,0,
IF(NOT(QUOTE_Split_SoftwareHardware),QCalc!S28,QCalc!Z28)
)</f>
        <v/>
      </c>
      <c r="T49" s="84"/>
      <c r="U49" s="73" t="str">
        <f>IF(AND(V49&gt;0,V49&lt;&gt;"",AND(LEFT(X49,7)&lt;&gt;"   • Wi",LEFT(X49,7)&lt;&gt;"   • XL")),
COUNT($V$24:V49)
+IF(NOT(QUOTE_Split_SoftwareHardware),MAX($B$24:$B$54),0),"")</f>
        <v/>
      </c>
      <c r="V49" s="82" t="str">
        <f>IF(NOT(QUOTE_Split_SoftwareHardware),QCalc!Q59,QCalc!AE28)</f>
        <v/>
      </c>
      <c r="W49" s="82" t="str">
        <f t="shared" si="4"/>
        <v/>
      </c>
      <c r="X49" s="822" t="str">
        <f>IF(NOT(QUOTE_Split_SoftwareHardware),QCalc!N59,QCalc!AB28)</f>
        <v/>
      </c>
      <c r="Y49" s="823"/>
      <c r="Z49" s="823"/>
      <c r="AA49" s="823"/>
      <c r="AB49" s="823"/>
      <c r="AC49" s="823"/>
      <c r="AD49" s="823"/>
      <c r="AE49" s="823"/>
      <c r="AF49" s="823"/>
      <c r="AG49" s="823"/>
      <c r="AH49" s="824" t="str">
        <f>IF(NOT(QUOTE_Split_SoftwareHardware),
IF(QUOTE_DetailedPrices,QCalc!P59,QCalc!O59),
IF(QUOTE_DetailedPrices,QCalc!AD28,QCalc!AC28))</f>
        <v/>
      </c>
      <c r="AI49" s="825"/>
      <c r="AJ49" s="176" t="str">
        <f>IF($D49=0,0,IF(NOT(QUOTE_Split_SoftwareHardware),QCalc!R59,QCalc!AF28))</f>
        <v/>
      </c>
      <c r="AK49" s="177" t="str">
        <f>IF($D49=0,0,IF(NOT(QUOTE_Split_SoftwareHardware),QCalc!S59,QCalc!AG28))</f>
        <v/>
      </c>
    </row>
    <row r="50" spans="1:37" ht="11" customHeight="1" x14ac:dyDescent="0.2">
      <c r="A50" s="84"/>
      <c r="B50" s="73" t="str">
        <f>IF(AND(C50&gt;0,C50&lt;&gt;"",AND(LEFT(E50,7)&lt;&gt;"   • Wi",LEFT(E50,7)&lt;&gt;"   • XL")),
COUNT($C$24:C50),"")</f>
        <v/>
      </c>
      <c r="C50" s="82" t="str">
        <f>IF(NOT(QUOTE_Split_SoftwareHardware),QCalc!Q29,QCalc!X29)</f>
        <v/>
      </c>
      <c r="D50" s="121" t="str">
        <f t="shared" si="3"/>
        <v/>
      </c>
      <c r="E50" s="822" t="str">
        <f>IF(NOT(QUOTE_Split_SoftwareHardware),QCalc!N29,QCalc!U29)</f>
        <v/>
      </c>
      <c r="F50" s="823"/>
      <c r="G50" s="823"/>
      <c r="H50" s="823"/>
      <c r="I50" s="823"/>
      <c r="J50" s="823"/>
      <c r="K50" s="823"/>
      <c r="L50" s="823"/>
      <c r="M50" s="823"/>
      <c r="N50" s="823"/>
      <c r="O50" s="850" t="str">
        <f>IF(NOT(QUOTE_Split_SoftwareHardware),
IF(QUOTE_DetailedPrices,QCalc!P29,QCalc!O29),
IF(QUOTE_DetailedPrices,QCalc!W29,QCalc!V29))</f>
        <v/>
      </c>
      <c r="P50" s="851"/>
      <c r="Q50" s="176" t="str">
        <f>IF($D50=0,0,IF(NOT(QUOTE_Split_SoftwareHardware),QCalc!R29,QCalc!Y29))</f>
        <v/>
      </c>
      <c r="R50" s="177" t="str">
        <f>IF($D50=0,0,
IF(NOT(QUOTE_Split_SoftwareHardware),QCalc!S29,QCalc!Z29)
)</f>
        <v/>
      </c>
      <c r="T50" s="84"/>
      <c r="U50" s="73" t="str">
        <f>IF(AND(V50&gt;0,V50&lt;&gt;"",AND(LEFT(X50,7)&lt;&gt;"   • Wi",LEFT(X50,7)&lt;&gt;"   • XL")),
COUNT($V$24:V50)
+IF(NOT(QUOTE_Split_SoftwareHardware),MAX($B$24:$B$54),0),"")</f>
        <v/>
      </c>
      <c r="V50" s="82" t="str">
        <f>IF(NOT(QUOTE_Split_SoftwareHardware),QCalc!Q60,QCalc!AE29)</f>
        <v/>
      </c>
      <c r="W50" s="82" t="str">
        <f t="shared" si="4"/>
        <v/>
      </c>
      <c r="X50" s="822" t="str">
        <f>IF(NOT(QUOTE_Split_SoftwareHardware),QCalc!N60,QCalc!AB29)</f>
        <v/>
      </c>
      <c r="Y50" s="823"/>
      <c r="Z50" s="823"/>
      <c r="AA50" s="823"/>
      <c r="AB50" s="823"/>
      <c r="AC50" s="823"/>
      <c r="AD50" s="823"/>
      <c r="AE50" s="823"/>
      <c r="AF50" s="823"/>
      <c r="AG50" s="823"/>
      <c r="AH50" s="824" t="str">
        <f>IF(NOT(QUOTE_Split_SoftwareHardware),
IF(QUOTE_DetailedPrices,QCalc!P60,QCalc!O60),
IF(QUOTE_DetailedPrices,QCalc!AD29,QCalc!AC29))</f>
        <v/>
      </c>
      <c r="AI50" s="825"/>
      <c r="AJ50" s="176" t="str">
        <f>IF($D50=0,0,IF(NOT(QUOTE_Split_SoftwareHardware),QCalc!R60,QCalc!AF29))</f>
        <v/>
      </c>
      <c r="AK50" s="177" t="str">
        <f>IF($D50=0,0,IF(NOT(QUOTE_Split_SoftwareHardware),QCalc!S60,QCalc!AG29))</f>
        <v/>
      </c>
    </row>
    <row r="51" spans="1:37" ht="11" customHeight="1" x14ac:dyDescent="0.2">
      <c r="A51" s="84"/>
      <c r="B51" s="73" t="str">
        <f>IF(AND(C51&gt;0,C51&lt;&gt;"",AND(LEFT(E51,7)&lt;&gt;"   • Wi",LEFT(E51,7)&lt;&gt;"   • XL")),
COUNT($C$24:C51),"")</f>
        <v/>
      </c>
      <c r="C51" s="82" t="str">
        <f>IF(NOT(QUOTE_Split_SoftwareHardware),QCalc!Q30,QCalc!X30)</f>
        <v/>
      </c>
      <c r="D51" s="121" t="str">
        <f t="shared" si="3"/>
        <v/>
      </c>
      <c r="E51" s="822" t="str">
        <f>IF(NOT(QUOTE_Split_SoftwareHardware),QCalc!N30,QCalc!U30)</f>
        <v/>
      </c>
      <c r="F51" s="823"/>
      <c r="G51" s="823"/>
      <c r="H51" s="823"/>
      <c r="I51" s="823"/>
      <c r="J51" s="823"/>
      <c r="K51" s="823"/>
      <c r="L51" s="823"/>
      <c r="M51" s="823"/>
      <c r="N51" s="823"/>
      <c r="O51" s="850" t="str">
        <f>IF(NOT(QUOTE_Split_SoftwareHardware),
IF(QUOTE_DetailedPrices,QCalc!P30,QCalc!O30),
IF(QUOTE_DetailedPrices,QCalc!W30,QCalc!V30))</f>
        <v/>
      </c>
      <c r="P51" s="851"/>
      <c r="Q51" s="176" t="str">
        <f>IF($D51=0,0,IF(NOT(QUOTE_Split_SoftwareHardware),QCalc!R30,QCalc!Y30))</f>
        <v/>
      </c>
      <c r="R51" s="177" t="str">
        <f>IF($D51=0,0,
IF(NOT(QUOTE_Split_SoftwareHardware),QCalc!S30,QCalc!Z30)
)</f>
        <v/>
      </c>
      <c r="T51" s="84"/>
      <c r="U51" s="73" t="str">
        <f>IF(AND(V51&gt;0,V51&lt;&gt;"",AND(LEFT(X51,7)&lt;&gt;"   • Wi",LEFT(X51,7)&lt;&gt;"   • XL")),
COUNT($V$24:V51)
+IF(NOT(QUOTE_Split_SoftwareHardware),MAX($B$24:$B$54),0),"")</f>
        <v/>
      </c>
      <c r="V51" s="82" t="str">
        <f>IF(NOT(QUOTE_Split_SoftwareHardware),QCalc!Q61,QCalc!AE30)</f>
        <v/>
      </c>
      <c r="W51" s="82" t="str">
        <f t="shared" si="4"/>
        <v/>
      </c>
      <c r="X51" s="822" t="str">
        <f>IF(NOT(QUOTE_Split_SoftwareHardware),QCalc!N61,QCalc!AB30)</f>
        <v/>
      </c>
      <c r="Y51" s="823"/>
      <c r="Z51" s="823"/>
      <c r="AA51" s="823"/>
      <c r="AB51" s="823"/>
      <c r="AC51" s="823"/>
      <c r="AD51" s="823"/>
      <c r="AE51" s="823"/>
      <c r="AF51" s="823"/>
      <c r="AG51" s="823"/>
      <c r="AH51" s="824" t="str">
        <f>IF(NOT(QUOTE_Split_SoftwareHardware),
IF(QUOTE_DetailedPrices,QCalc!P61,QCalc!O61),
IF(QUOTE_DetailedPrices,QCalc!AD30,QCalc!AC30))</f>
        <v/>
      </c>
      <c r="AI51" s="825"/>
      <c r="AJ51" s="176" t="str">
        <f>IF($D51=0,0,IF(NOT(QUOTE_Split_SoftwareHardware),QCalc!R61,QCalc!AF30))</f>
        <v/>
      </c>
      <c r="AK51" s="177" t="str">
        <f>IF($D51=0,0,IF(NOT(QUOTE_Split_SoftwareHardware),QCalc!S61,QCalc!AG30))</f>
        <v/>
      </c>
    </row>
    <row r="52" spans="1:37" ht="11" customHeight="1" x14ac:dyDescent="0.2">
      <c r="A52" s="84"/>
      <c r="B52" s="73" t="str">
        <f>IF(AND(C52&gt;0,C52&lt;&gt;"",AND(LEFT(E52,7)&lt;&gt;"   • Wi",LEFT(E52,7)&lt;&gt;"   • XL")),
COUNT($C$24:C52),"")</f>
        <v/>
      </c>
      <c r="C52" s="82" t="str">
        <f>IF(NOT(QUOTE_Split_SoftwareHardware),QCalc!Q31,QCalc!X31)</f>
        <v/>
      </c>
      <c r="D52" s="121" t="str">
        <f t="shared" si="3"/>
        <v/>
      </c>
      <c r="E52" s="822" t="str">
        <f>IF(NOT(QUOTE_Split_SoftwareHardware),QCalc!N31,QCalc!U31)</f>
        <v/>
      </c>
      <c r="F52" s="823"/>
      <c r="G52" s="823"/>
      <c r="H52" s="823"/>
      <c r="I52" s="823"/>
      <c r="J52" s="823"/>
      <c r="K52" s="823"/>
      <c r="L52" s="823"/>
      <c r="M52" s="823"/>
      <c r="N52" s="823"/>
      <c r="O52" s="850" t="str">
        <f>IF(NOT(QUOTE_Split_SoftwareHardware),
IF(QUOTE_DetailedPrices,QCalc!P31,QCalc!O31),
IF(QUOTE_DetailedPrices,QCalc!W31,QCalc!V31))</f>
        <v/>
      </c>
      <c r="P52" s="851"/>
      <c r="Q52" s="176" t="str">
        <f>IF($D52=0,0,IF(NOT(QUOTE_Split_SoftwareHardware),QCalc!R31,QCalc!Y31))</f>
        <v/>
      </c>
      <c r="R52" s="177" t="str">
        <f>IF($D52=0,0,
IF(NOT(QUOTE_Split_SoftwareHardware),QCalc!S31,QCalc!Z31)
)</f>
        <v/>
      </c>
      <c r="T52" s="84"/>
      <c r="U52" s="73" t="str">
        <f>IF(AND(V52&gt;0,V52&lt;&gt;"",AND(LEFT(X52,7)&lt;&gt;"   • Wi",LEFT(X52,7)&lt;&gt;"   • XL")),
COUNT($V$24:V52)
+IF(NOT(QUOTE_Split_SoftwareHardware),MAX($B$24:$B$54),0),"")</f>
        <v/>
      </c>
      <c r="V52" s="82" t="str">
        <f>IF(NOT(QUOTE_Split_SoftwareHardware),QCalc!Q62,QCalc!AE31)</f>
        <v/>
      </c>
      <c r="W52" s="82" t="str">
        <f t="shared" si="4"/>
        <v/>
      </c>
      <c r="X52" s="822" t="str">
        <f>IF(NOT(QUOTE_Split_SoftwareHardware),QCalc!N62,QCalc!AB31)</f>
        <v/>
      </c>
      <c r="Y52" s="823"/>
      <c r="Z52" s="823"/>
      <c r="AA52" s="823"/>
      <c r="AB52" s="823"/>
      <c r="AC52" s="823"/>
      <c r="AD52" s="823"/>
      <c r="AE52" s="823"/>
      <c r="AF52" s="823"/>
      <c r="AG52" s="823"/>
      <c r="AH52" s="824" t="str">
        <f>IF(NOT(QUOTE_Split_SoftwareHardware),
IF(QUOTE_DetailedPrices,QCalc!P62,QCalc!O62),
IF(QUOTE_DetailedPrices,QCalc!AD31,QCalc!AC31))</f>
        <v/>
      </c>
      <c r="AI52" s="825"/>
      <c r="AJ52" s="176" t="str">
        <f>IF($D52=0,0,IF(NOT(QUOTE_Split_SoftwareHardware),QCalc!R62,QCalc!AF31))</f>
        <v/>
      </c>
      <c r="AK52" s="177" t="str">
        <f>IF($D52=0,0,IF(NOT(QUOTE_Split_SoftwareHardware),QCalc!S62,QCalc!AG31))</f>
        <v/>
      </c>
    </row>
    <row r="53" spans="1:37" ht="11" customHeight="1" x14ac:dyDescent="0.2">
      <c r="A53" s="84"/>
      <c r="B53" s="73" t="str">
        <f>IF(AND(C53&gt;0,C53&lt;&gt;"",AND(LEFT(E53,7)&lt;&gt;"   • Wi",LEFT(E53,7)&lt;&gt;"   • XL")),
COUNT($C$24:C53),"")</f>
        <v/>
      </c>
      <c r="C53" s="82" t="str">
        <f>IF(NOT(QUOTE_Split_SoftwareHardware),QCalc!Q32,QCalc!X32)</f>
        <v/>
      </c>
      <c r="D53" s="121" t="str">
        <f t="shared" si="3"/>
        <v/>
      </c>
      <c r="E53" s="822" t="str">
        <f>IF(NOT(QUOTE_Split_SoftwareHardware),QCalc!N32,QCalc!U32)</f>
        <v/>
      </c>
      <c r="F53" s="823"/>
      <c r="G53" s="823"/>
      <c r="H53" s="823"/>
      <c r="I53" s="823"/>
      <c r="J53" s="823"/>
      <c r="K53" s="823"/>
      <c r="L53" s="823"/>
      <c r="M53" s="823"/>
      <c r="N53" s="823"/>
      <c r="O53" s="850" t="str">
        <f>IF(NOT(QUOTE_Split_SoftwareHardware),
IF(QUOTE_DetailedPrices,QCalc!P32,QCalc!O32),
IF(QUOTE_DetailedPrices,QCalc!W32,QCalc!V32))</f>
        <v/>
      </c>
      <c r="P53" s="851"/>
      <c r="Q53" s="176" t="str">
        <f>IF($D53=0,0,IF(NOT(QUOTE_Split_SoftwareHardware),QCalc!R32,QCalc!Y32))</f>
        <v/>
      </c>
      <c r="R53" s="177" t="str">
        <f>IF($D53=0,0,
IF(NOT(QUOTE_Split_SoftwareHardware),QCalc!S32,QCalc!Z32)
)</f>
        <v/>
      </c>
      <c r="T53" s="84"/>
      <c r="U53" s="73" t="str">
        <f>IF(AND(V53&gt;0,V53&lt;&gt;"",AND(LEFT(X53,7)&lt;&gt;"   • Wi",LEFT(X53,7)&lt;&gt;"   • XL")),
COUNT($V$24:V53)
+IF(NOT(QUOTE_Split_SoftwareHardware),MAX($B$24:$B$54),0),"")</f>
        <v/>
      </c>
      <c r="V53" s="82" t="str">
        <f>IF(NOT(QUOTE_Split_SoftwareHardware),QCalc!Q63,QCalc!AE32)</f>
        <v/>
      </c>
      <c r="W53" s="82" t="str">
        <f t="shared" si="4"/>
        <v/>
      </c>
      <c r="X53" s="822" t="str">
        <f>IF(NOT(QUOTE_Split_SoftwareHardware),QCalc!N63,QCalc!AB32)</f>
        <v/>
      </c>
      <c r="Y53" s="823"/>
      <c r="Z53" s="823"/>
      <c r="AA53" s="823"/>
      <c r="AB53" s="823"/>
      <c r="AC53" s="823"/>
      <c r="AD53" s="823"/>
      <c r="AE53" s="823"/>
      <c r="AF53" s="823"/>
      <c r="AG53" s="823"/>
      <c r="AH53" s="824" t="str">
        <f>IF(NOT(QUOTE_Split_SoftwareHardware),
IF(QUOTE_DetailedPrices,QCalc!P63,QCalc!O63),
IF(QUOTE_DetailedPrices,QCalc!AD32,QCalc!AC32))</f>
        <v/>
      </c>
      <c r="AI53" s="825"/>
      <c r="AJ53" s="176" t="str">
        <f>IF($D53=0,0,IF(NOT(QUOTE_Split_SoftwareHardware),QCalc!R63,QCalc!AF32))</f>
        <v/>
      </c>
      <c r="AK53" s="177" t="str">
        <f>IF($D53=0,0,IF(NOT(QUOTE_Split_SoftwareHardware),QCalc!S63,QCalc!AG32))</f>
        <v/>
      </c>
    </row>
    <row r="54" spans="1:37" ht="11" customHeight="1" x14ac:dyDescent="0.2">
      <c r="A54" s="84"/>
      <c r="B54" s="73" t="str">
        <f>IF(AND(C54&gt;0,C54&lt;&gt;"",AND(LEFT(E54,7)&lt;&gt;"   • Wi",LEFT(E54,7)&lt;&gt;"   • XL")),
COUNT($C$24:C54),"")</f>
        <v/>
      </c>
      <c r="C54" s="82" t="str">
        <f>IF(NOT(QUOTE_Split_SoftwareHardware),QCalc!Q33,QCalc!X33)</f>
        <v/>
      </c>
      <c r="D54" s="121" t="str">
        <f t="shared" si="3"/>
        <v/>
      </c>
      <c r="E54" s="822" t="str">
        <f>IF(NOT(QUOTE_Split_SoftwareHardware),QCalc!N33,QCalc!U33)</f>
        <v/>
      </c>
      <c r="F54" s="823"/>
      <c r="G54" s="823"/>
      <c r="H54" s="823"/>
      <c r="I54" s="823"/>
      <c r="J54" s="823"/>
      <c r="K54" s="823"/>
      <c r="L54" s="823"/>
      <c r="M54" s="823"/>
      <c r="N54" s="823"/>
      <c r="O54" s="850" t="str">
        <f>IF(NOT(QUOTE_Split_SoftwareHardware),
IF(QUOTE_DetailedPrices,QCalc!P33,QCalc!O33),
IF(QUOTE_DetailedPrices,QCalc!W33,QCalc!V33))</f>
        <v/>
      </c>
      <c r="P54" s="851"/>
      <c r="Q54" s="176" t="str">
        <f>IF($D54=0,0,IF(NOT(QUOTE_Split_SoftwareHardware),QCalc!R33,QCalc!Y33))</f>
        <v/>
      </c>
      <c r="R54" s="177" t="str">
        <f>IF($D54=0,0,
IF(NOT(QUOTE_Split_SoftwareHardware),QCalc!S33,QCalc!Z33)
)</f>
        <v/>
      </c>
      <c r="T54" s="84"/>
      <c r="U54" s="73" t="str">
        <f>IF(AND(V54&gt;0,V54&lt;&gt;"",AND(LEFT(X54,7)&lt;&gt;"   • Wi",LEFT(X54,7)&lt;&gt;"   • XL")),
COUNT($V$24:V54)
+IF(NOT(QUOTE_Split_SoftwareHardware),MAX($B$24:$B$54),0),"")</f>
        <v/>
      </c>
      <c r="V54" s="82" t="str">
        <f>IF(NOT(QUOTE_Split_SoftwareHardware),QCalc!Q64,QCalc!AE33)</f>
        <v/>
      </c>
      <c r="W54" s="82" t="str">
        <f t="shared" si="4"/>
        <v/>
      </c>
      <c r="X54" s="822" t="str">
        <f>IF(NOT(QUOTE_Split_SoftwareHardware),QCalc!N64,QCalc!AB33)</f>
        <v/>
      </c>
      <c r="Y54" s="823"/>
      <c r="Z54" s="823"/>
      <c r="AA54" s="823"/>
      <c r="AB54" s="823"/>
      <c r="AC54" s="823"/>
      <c r="AD54" s="823"/>
      <c r="AE54" s="823"/>
      <c r="AF54" s="823"/>
      <c r="AG54" s="823"/>
      <c r="AH54" s="824" t="str">
        <f>IF(NOT(QUOTE_Split_SoftwareHardware),
IF(QUOTE_DetailedPrices,QCalc!P64,QCalc!O64),
IF(QUOTE_DetailedPrices,QCalc!AD33,QCalc!AC33))</f>
        <v/>
      </c>
      <c r="AI54" s="825"/>
      <c r="AJ54" s="176" t="str">
        <f>IF($D54=0,0,IF(NOT(QUOTE_Split_SoftwareHardware),QCalc!R64,QCalc!AF33))</f>
        <v/>
      </c>
      <c r="AK54" s="177" t="str">
        <f>IF($D54=0,0,IF(NOT(QUOTE_Split_SoftwareHardware),QCalc!S64,QCalc!AG33))</f>
        <v/>
      </c>
    </row>
    <row r="55" spans="1:37" ht="11" customHeight="1" x14ac:dyDescent="0.2">
      <c r="A55" s="85"/>
      <c r="B55" s="114"/>
      <c r="C55" s="87"/>
      <c r="D55" s="87"/>
      <c r="E55" s="848" t="str">
        <f>IF(AND(QUOTE_Split_SoftwareHardware,COUNTIF(TableQCalcMain[ShowSoft],"&gt;0")&gt;31),
IF(Francais,"DÉBORDEMENT, Certains items ne sont pas affichés et facturés","OVERFLOW, Some items are not shown and billed"),
IF(LEFT(INV_CellToWriteDiscount,4)="TRFF",TRFF_Description,
IF(QUOTE_FilledByCustomer,
IF(Francais,"Rabais (1 %) pour la saisie d'informations complètes sur l'acheteur (Facturer à / Expédier à) sur la feuille Home.","Discount (1%) for entering complete buyer information (Bill to/Ship To) on the Home sheet."),
IF(LEFT(INV_CellToWriteDiscount,4)="SUPP",Supp_Description,
IF(RIGHT(R65,1)&lt;&gt;"1",IF(Francais,"Inclus aussi les items sur la(les) page(s) suivante(s)","Also includes items on next page(s)"),"")))))</f>
        <v/>
      </c>
      <c r="F55" s="849"/>
      <c r="G55" s="849"/>
      <c r="H55" s="849"/>
      <c r="I55" s="849"/>
      <c r="J55" s="849"/>
      <c r="K55" s="849"/>
      <c r="L55" s="849"/>
      <c r="M55" s="849"/>
      <c r="N55" s="849"/>
      <c r="O55" s="844"/>
      <c r="P55" s="844"/>
      <c r="Q55" s="730" t="str">
        <f>IF(AND(QUOTE_Split_SoftwareHardware,QUOTE_InternetDownload,Checkbox_Tariffs2),"TRFF500",
IF(QUOTE_FilledByCustomer,"DISC010",""))</f>
        <v/>
      </c>
      <c r="R55" s="753" t="str">
        <f>IFERROR(IF(AND(FIND("DISC",LEFT(Q55,4)),ISNUMBER(_xlfn.NUMBERVALUE(RIGHT(Q55,3)))),
(SUM(R24:R54)+SUM(AK24:AK54))*_xlfn.NUMBERVALUE(RIGHT(Q55,3)/-1000),
0),
IFERROR(IF(AND(FIND("SUPP",LEFT(Q55,4)),ISNUMBER(_xlfn.NUMBERVALUE(RIGHT(Q55,3)))),
(SUM(R24:R54)+SUM(AK24:AK54))*_xlfn.NUMBERVALUE(RIGHT(Q55,3)/1000),
0),
IFERROR(IF(AND(FIND("TRFF",LEFT(Q55,4)),ISNUMBER(_xlfn.NUMBERVALUE(RIGHT(Q55,3)))),
(0*SUM(R24:R54)+SUM(AK24:AK54))*_xlfn.NUMBERVALUE(RIGHT(Q55,3)/1000),
0),"")))</f>
        <v/>
      </c>
      <c r="T55" s="85"/>
      <c r="U55" s="114"/>
      <c r="V55" s="87"/>
      <c r="W55" s="87"/>
      <c r="X55" s="115"/>
      <c r="Y55" s="842" t="str">
        <f>IF(NOT(QUOTE_Split_SoftwareHardware),
IF(COUNTIF(TableQCalcMain[ShowDesc?],"&gt;0")&gt;64,IF(Francais,"DÉBORDEMENT, Certains items ne sont pas affichés et facturés","OVERFLOW, Some items are not shown and billed"),""),
IF(COUNTIF(TableQCalcMain[ShowHard],"&gt;0")&gt;31,IF(Francais,"DÉBORDEMENT, Certains items ne sont pas affichés et facturés","OVERFLOW, Some items are not shown and billed"),"")
)</f>
        <v/>
      </c>
      <c r="Z55" s="842"/>
      <c r="AA55" s="842"/>
      <c r="AB55" s="842"/>
      <c r="AC55" s="842"/>
      <c r="AD55" s="842"/>
      <c r="AE55" s="842"/>
      <c r="AF55" s="842"/>
      <c r="AG55" s="842"/>
      <c r="AH55" s="844"/>
      <c r="AI55" s="844"/>
      <c r="AJ55" s="178"/>
      <c r="AK55" s="179"/>
    </row>
    <row r="56" spans="1:37" ht="5.75" customHeight="1" x14ac:dyDescent="0.2">
      <c r="O56" s="47"/>
      <c r="P56" s="90"/>
      <c r="Q56" s="91"/>
      <c r="R56" s="92"/>
      <c r="T56" s="46"/>
      <c r="U56" s="46"/>
      <c r="V56" s="46"/>
      <c r="W56" s="46"/>
      <c r="X56" s="46"/>
      <c r="Y56" s="46"/>
      <c r="Z56" s="46"/>
      <c r="AA56" s="46"/>
      <c r="AB56" s="46"/>
      <c r="AC56" s="46"/>
      <c r="AD56" s="46"/>
      <c r="AE56" s="46"/>
      <c r="AF56" s="46"/>
      <c r="AG56" s="46"/>
      <c r="AH56" s="47"/>
      <c r="AI56" s="90"/>
      <c r="AJ56" s="91"/>
      <c r="AK56" s="92"/>
    </row>
    <row r="57" spans="1:37" x14ac:dyDescent="0.2">
      <c r="B57" s="510"/>
      <c r="C57" s="77"/>
      <c r="D57" s="77"/>
      <c r="E57" s="77"/>
      <c r="F57" s="77"/>
      <c r="G57" s="78"/>
      <c r="H57" s="79"/>
      <c r="I57" s="79"/>
      <c r="J57" s="79"/>
      <c r="K57" s="79"/>
      <c r="L57" s="79"/>
      <c r="M57" s="79"/>
      <c r="N57" s="79"/>
      <c r="O57" s="47"/>
      <c r="P57" s="88" t="str">
        <f>IF(Francais,"Sous-total","Subtotal")</f>
        <v>Sous-total</v>
      </c>
      <c r="Q57" s="58"/>
      <c r="R57" s="93">
        <f>SUM(R24:R55)+IF(NOT(QUOTE_Split_SoftwareHardware),SUM(AK24:AK55),0)</f>
        <v>0</v>
      </c>
      <c r="T57" s="46"/>
      <c r="U57" s="510"/>
      <c r="V57" s="77"/>
      <c r="W57" s="77"/>
      <c r="X57" s="77"/>
      <c r="Y57" s="77"/>
      <c r="Z57" s="78"/>
      <c r="AA57" s="79"/>
      <c r="AB57" s="79"/>
      <c r="AC57" s="79"/>
      <c r="AD57" s="79"/>
      <c r="AE57" s="79"/>
      <c r="AF57" s="79"/>
      <c r="AG57" s="79"/>
      <c r="AH57" s="47"/>
      <c r="AI57" s="88" t="str">
        <f>IF(Francais,"Sous-total","Subtotal")</f>
        <v>Sous-total</v>
      </c>
      <c r="AJ57" s="58"/>
      <c r="AK57" s="93">
        <f>SUM(AK24:AK55)</f>
        <v>0</v>
      </c>
    </row>
    <row r="58" spans="1:37" x14ac:dyDescent="0.2">
      <c r="B58" s="507"/>
      <c r="C58" s="507"/>
      <c r="D58" s="507"/>
      <c r="E58" s="508"/>
      <c r="F58" s="508"/>
      <c r="G58" s="508"/>
      <c r="H58" s="508"/>
      <c r="I58" s="508"/>
      <c r="J58" s="508"/>
      <c r="K58" s="508"/>
      <c r="L58" s="508"/>
      <c r="M58" s="503"/>
      <c r="N58" s="508"/>
      <c r="O58" s="503"/>
      <c r="P58" s="504" t="str">
        <f>IF(Francais,"Frais de port","Shipping")</f>
        <v>Frais de port</v>
      </c>
      <c r="Q58" s="505"/>
      <c r="R58" s="506" t="str">
        <f>QUOTE_Shipping</f>
        <v>À déterminer</v>
      </c>
      <c r="T58" s="46"/>
      <c r="U58" s="507"/>
      <c r="V58" s="507"/>
      <c r="W58" s="507"/>
      <c r="X58" s="508"/>
      <c r="Y58" s="508"/>
      <c r="Z58" s="508"/>
      <c r="AA58" s="508"/>
      <c r="AB58" s="508"/>
      <c r="AC58" s="508"/>
      <c r="AD58" s="508"/>
      <c r="AE58" s="508"/>
      <c r="AF58" s="503"/>
      <c r="AG58" s="508"/>
      <c r="AH58" s="47"/>
      <c r="AI58" s="88" t="str">
        <f>IF(Francais,"Frais de port","Shipping")</f>
        <v>Frais de port</v>
      </c>
      <c r="AJ58" s="58"/>
      <c r="AK58" s="95">
        <f>IF(NOT(QUOTE_Split_SoftwareHardware),0,
IF(SHIP_Country_Index&gt;21,
IF(Francais,"À déterminer","To be determined"),IF(Q13="EXW","EXTRA",
IF(QUOTE_InternetDownload,(1-RebateShipping_SplitAndInternet)*SHIP_CostTotal,
SHIP_CostTotal))))</f>
        <v>0</v>
      </c>
    </row>
    <row r="59" spans="1:37" x14ac:dyDescent="0.2">
      <c r="B59" s="508"/>
      <c r="C59" s="508"/>
      <c r="D59" s="508"/>
      <c r="E59" s="508"/>
      <c r="F59" s="508"/>
      <c r="G59" s="508"/>
      <c r="H59" s="508"/>
      <c r="I59" s="508"/>
      <c r="J59" s="508"/>
      <c r="K59" s="508"/>
      <c r="L59" s="508"/>
      <c r="M59" s="503"/>
      <c r="N59" s="508"/>
      <c r="O59" s="47"/>
      <c r="P59" s="94" t="str">
        <f>IF(SHIP_Country_Index=1,
IF(Francais,"TPS","GST") &amp; IF(R59&gt;0," (#130801764)"," N/A"),
"")</f>
        <v/>
      </c>
      <c r="Q59" s="62"/>
      <c r="R59" s="95" t="str">
        <f>IF(SHIP_Country_Index=1,
(R57+IF(ISNUMBER(R58),R58,0))*
IFERROR(INDEX(TableLists[Column6],MATCH(HOME_Province_Ship,TableLists[Column5],0)),0),
"")</f>
        <v/>
      </c>
      <c r="T59" s="46"/>
      <c r="U59" s="508"/>
      <c r="V59" s="508"/>
      <c r="W59" s="508"/>
      <c r="X59" s="508"/>
      <c r="Y59" s="508"/>
      <c r="Z59" s="508"/>
      <c r="AA59" s="508"/>
      <c r="AB59" s="508"/>
      <c r="AC59" s="508"/>
      <c r="AD59" s="508"/>
      <c r="AE59" s="508"/>
      <c r="AF59" s="503"/>
      <c r="AG59" s="508"/>
      <c r="AH59" s="47"/>
      <c r="AI59" s="94" t="str">
        <f>IF(SHIP_Country_Index=1,
IF(AK59&gt;0,"GST (#130801764)","GST N/A"),
"")</f>
        <v/>
      </c>
      <c r="AJ59" s="62"/>
      <c r="AK59" s="95" t="str">
        <f>IF(SHIP_Country_Index=1,
(AK57+IF(ISNUMBER(AK58),AK58,0))*
IFERROR(INDEX(TableLists[Column6],MATCH(HOME_Province_Ship,TableLists[Column5],0)),0),
"")</f>
        <v/>
      </c>
    </row>
    <row r="60" spans="1:37" ht="11" customHeight="1" x14ac:dyDescent="0.2">
      <c r="B60" s="508"/>
      <c r="C60" s="508"/>
      <c r="D60" s="508"/>
      <c r="E60" s="508"/>
      <c r="F60" s="508"/>
      <c r="G60" s="508"/>
      <c r="H60" s="508"/>
      <c r="I60" s="508"/>
      <c r="J60" s="508"/>
      <c r="K60" s="508"/>
      <c r="L60" s="508"/>
      <c r="M60" s="503"/>
      <c r="N60" s="508"/>
      <c r="O60" s="47"/>
      <c r="P60" s="94" t="str">
        <f>IF(SHIP_Country_Index=1,
IF(IFERROR(MATCH(HOME_Province,{"QC";"PQ"},0),0)&gt;0,IF(Francais,"TVQ","QST"),IF(Francais,"TVH","HST")) &amp; IF(R60&gt;0," (#1011238609)"," N/A"),
"")</f>
        <v/>
      </c>
      <c r="Q60" s="62"/>
      <c r="R60" s="95" t="str">
        <f>IF(SHIP_Country_Index=1,
(R57+IF(ISNUMBER(R58),R58,0))*
IFERROR(INDEX(TableLists[Column7],MATCH(HOME_Province_Ship,TableLists[Column5],0)),0),
"")</f>
        <v/>
      </c>
      <c r="T60" s="46"/>
      <c r="U60" s="508"/>
      <c r="V60" s="508"/>
      <c r="W60" s="508"/>
      <c r="X60" s="508"/>
      <c r="Y60" s="508"/>
      <c r="Z60" s="508"/>
      <c r="AA60" s="508"/>
      <c r="AB60" s="508"/>
      <c r="AC60" s="508"/>
      <c r="AD60" s="508"/>
      <c r="AE60" s="508"/>
      <c r="AF60" s="503"/>
      <c r="AG60" s="508"/>
      <c r="AH60" s="47"/>
      <c r="AI60" s="94" t="str">
        <f>IF(SHIP_Country_Index=1,
IF(IFERROR(MATCH(HOME_Province,{"QC";"PQ"},0),0)&gt;0,IF(Francais,"TVQ","QST"),IF(Francais,"TVH","HST")) &amp; IF(AK60&gt;0," (#1011238609)"," N/A"),
"")</f>
        <v/>
      </c>
      <c r="AJ60" s="62"/>
      <c r="AK60" s="95" t="str">
        <f>IF(SHIP_Country_Index=1,
(AK57+IF(ISNUMBER(AK58),AK58,0))*
IFERROR(INDEX(TableLists[Column7],MATCH(HOME_Province_Ship,TableLists[Column5],0)),0),
"")</f>
        <v/>
      </c>
    </row>
    <row r="61" spans="1:37" x14ac:dyDescent="0.2">
      <c r="B61" s="502" t="str">
        <f>IF(Francais,"Informations pour Virement Bancaire","Bank Information for Wire Transfer")</f>
        <v>Informations pour Virement Bancaire</v>
      </c>
      <c r="C61" s="80"/>
      <c r="D61" s="80"/>
      <c r="E61" s="79"/>
      <c r="F61" s="79"/>
      <c r="G61" s="79"/>
      <c r="H61" s="79"/>
      <c r="I61" s="79"/>
      <c r="J61" s="79"/>
      <c r="K61" s="79"/>
      <c r="L61" s="79"/>
      <c r="M61" s="79"/>
      <c r="N61" s="79"/>
      <c r="O61" s="47"/>
      <c r="P61" s="96" t="s">
        <v>18</v>
      </c>
      <c r="Q61" s="59"/>
      <c r="R61" s="97">
        <f>SUM(R57:R60)</f>
        <v>0</v>
      </c>
      <c r="T61" s="46"/>
      <c r="U61" s="502" t="str">
        <f>IF(Francais,"Informations pour Virement Bancaire","Bank Information for Wire Transfer")</f>
        <v>Informations pour Virement Bancaire</v>
      </c>
      <c r="V61" s="80"/>
      <c r="W61" s="80"/>
      <c r="X61" s="79"/>
      <c r="Y61" s="79"/>
      <c r="Z61" s="79"/>
      <c r="AA61" s="79"/>
      <c r="AB61" s="79"/>
      <c r="AC61" s="79"/>
      <c r="AD61" s="79"/>
      <c r="AE61" s="79"/>
      <c r="AF61" s="79"/>
      <c r="AG61" s="79"/>
      <c r="AH61" s="47"/>
      <c r="AI61" s="96" t="s">
        <v>18</v>
      </c>
      <c r="AJ61" s="59"/>
      <c r="AK61" s="97">
        <f>SUM(AK57:AK60)</f>
        <v>0</v>
      </c>
    </row>
    <row r="62" spans="1:37" x14ac:dyDescent="0.2">
      <c r="B62" s="112"/>
      <c r="C62" s="112"/>
      <c r="D62" s="112"/>
      <c r="E62" s="112"/>
      <c r="F62" s="112"/>
      <c r="G62" s="112"/>
      <c r="H62" s="112"/>
      <c r="I62" s="112"/>
      <c r="J62" s="112"/>
      <c r="K62" s="112"/>
      <c r="L62" s="112"/>
      <c r="M62" s="112"/>
      <c r="O62" s="47"/>
      <c r="P62" s="85"/>
      <c r="Q62" s="86"/>
      <c r="R62" s="98"/>
      <c r="T62" s="46"/>
      <c r="U62" s="51"/>
      <c r="V62" s="51"/>
      <c r="W62" s="51"/>
      <c r="X62" s="51"/>
      <c r="Y62" s="51"/>
      <c r="Z62" s="51"/>
      <c r="AA62" s="51"/>
      <c r="AB62" s="51"/>
      <c r="AC62" s="51"/>
      <c r="AD62" s="51"/>
      <c r="AE62" s="51"/>
      <c r="AF62" s="51"/>
      <c r="AG62" s="46"/>
      <c r="AH62" s="47"/>
      <c r="AI62" s="85"/>
      <c r="AJ62" s="86"/>
      <c r="AK62" s="98"/>
    </row>
    <row r="63" spans="1:37" x14ac:dyDescent="0.2">
      <c r="B63" s="112"/>
      <c r="C63" s="112"/>
      <c r="D63" s="112"/>
      <c r="E63" s="112"/>
      <c r="F63" s="112"/>
      <c r="G63" s="112"/>
      <c r="H63" s="231"/>
      <c r="I63" s="112"/>
      <c r="J63" s="112"/>
      <c r="K63" s="112"/>
      <c r="L63" s="112"/>
      <c r="M63" s="112"/>
      <c r="N63" s="843" t="str">
        <f>IF(Francais,"Voir nos conditions de ventes (page suivante)","See Sales Terms &amp; Conditions next page")</f>
        <v>Voir nos conditions de ventes (page suivante)</v>
      </c>
      <c r="O63" s="843"/>
      <c r="P63" s="843"/>
      <c r="Q63" s="843"/>
      <c r="R63" s="843"/>
      <c r="T63" s="46"/>
      <c r="U63" s="51"/>
      <c r="V63" s="51"/>
      <c r="W63" s="51"/>
      <c r="X63" s="51"/>
      <c r="Y63" s="51"/>
      <c r="Z63" s="51"/>
      <c r="AA63" s="51"/>
      <c r="AB63" s="51"/>
      <c r="AC63" s="51"/>
      <c r="AD63" s="51"/>
      <c r="AE63" s="51"/>
      <c r="AF63" s="51"/>
      <c r="AG63" s="843" t="str">
        <f>N63</f>
        <v>Voir nos conditions de ventes (page suivante)</v>
      </c>
      <c r="AH63" s="843"/>
      <c r="AI63" s="843"/>
      <c r="AJ63" s="843"/>
      <c r="AK63" s="843"/>
    </row>
    <row r="64" spans="1:37" x14ac:dyDescent="0.2">
      <c r="B64" s="113"/>
      <c r="C64" s="113"/>
      <c r="D64" s="113"/>
      <c r="E64" s="113"/>
      <c r="F64" s="113"/>
      <c r="G64" s="113"/>
      <c r="H64" s="113"/>
      <c r="I64" s="113"/>
      <c r="J64" s="113"/>
      <c r="N64" s="843"/>
      <c r="O64" s="843"/>
      <c r="P64" s="843"/>
      <c r="Q64" s="843"/>
      <c r="R64" s="843"/>
      <c r="T64" s="46"/>
      <c r="U64" s="49"/>
      <c r="V64" s="49"/>
      <c r="W64" s="49"/>
      <c r="X64" s="49"/>
      <c r="Y64" s="49"/>
      <c r="Z64" s="49"/>
      <c r="AA64" s="49"/>
      <c r="AB64" s="49"/>
      <c r="AC64" s="49"/>
      <c r="AD64" s="46"/>
      <c r="AE64" s="46"/>
      <c r="AF64" s="46"/>
      <c r="AG64" s="843"/>
      <c r="AH64" s="843"/>
      <c r="AI64" s="843"/>
      <c r="AJ64" s="843"/>
      <c r="AK64" s="843"/>
    </row>
    <row r="65" spans="1:38" x14ac:dyDescent="0.2">
      <c r="J65" s="236" t="str">
        <f>IF(Francais,"Préparée par","Issued by")</f>
        <v>Préparée par</v>
      </c>
      <c r="K65" s="13" t="str">
        <f>Quote!J65</f>
        <v>Nicolas Lachance</v>
      </c>
      <c r="N65" s="750" t="s">
        <v>778</v>
      </c>
      <c r="P65" s="13"/>
      <c r="Q65" s="234"/>
      <c r="R65" s="71" t="str">
        <f>"Page 1 " &amp; IF(Francais,"de ","of ") &amp; IF(ROWS(Inv!$X$24:$X$54)&gt;COUNTBLANK(Inv!$X$24:$X$54),IF(NOT(QUOTE_Split_SoftwareHardware),2,1),1)</f>
        <v>Page 1 de 1</v>
      </c>
      <c r="T65" s="46"/>
      <c r="U65" s="46"/>
      <c r="V65" s="46"/>
      <c r="W65" s="46"/>
      <c r="X65" s="46"/>
      <c r="Y65" s="46"/>
      <c r="Z65" s="46"/>
      <c r="AA65" s="46"/>
      <c r="AB65" s="46"/>
      <c r="AC65" s="236" t="str">
        <f>IF(Francais,"Préparée par","Issued by")</f>
        <v>Préparée par</v>
      </c>
      <c r="AD65" s="13" t="str">
        <f>K65</f>
        <v>Nicolas Lachance</v>
      </c>
      <c r="AE65" s="46"/>
      <c r="AF65" s="46"/>
      <c r="AG65" s="750" t="s">
        <v>778</v>
      </c>
      <c r="AI65" s="13"/>
      <c r="AJ65" s="46"/>
      <c r="AK65" s="99" t="str">
        <f>SUBSTITUTE("Page 2 " &amp; IF(Francais,"de ","of ") &amp; "2","2",IF(NOT(QUOTE_Split_SoftwareHardware),"2","1"))</f>
        <v>Page 2 de 2</v>
      </c>
    </row>
    <row r="66" spans="1:38" ht="2.75" customHeight="1" x14ac:dyDescent="0.2">
      <c r="A66" s="86"/>
      <c r="B66" s="86"/>
      <c r="C66" s="86"/>
      <c r="D66" s="86"/>
      <c r="E66" s="86"/>
      <c r="F66" s="86"/>
      <c r="G66" s="86"/>
      <c r="H66" s="86"/>
      <c r="I66" s="86"/>
      <c r="J66" s="86"/>
      <c r="K66" s="86"/>
      <c r="L66" s="86"/>
      <c r="M66" s="86"/>
      <c r="N66" s="86"/>
      <c r="O66" s="86"/>
      <c r="P66" s="86"/>
      <c r="Q66" s="86"/>
      <c r="R66" s="86"/>
      <c r="S66" s="46"/>
      <c r="T66" s="86"/>
      <c r="U66" s="86"/>
      <c r="V66" s="86"/>
      <c r="W66" s="86"/>
      <c r="X66" s="86"/>
      <c r="Y66" s="86"/>
      <c r="Z66" s="86"/>
      <c r="AA66" s="86"/>
      <c r="AB66" s="86"/>
      <c r="AC66" s="86"/>
      <c r="AD66" s="86"/>
      <c r="AE66" s="86"/>
      <c r="AF66" s="86"/>
      <c r="AG66" s="86"/>
      <c r="AH66" s="86"/>
      <c r="AI66" s="86"/>
      <c r="AJ66" s="86"/>
      <c r="AK66" s="86"/>
      <c r="AL66" s="46"/>
    </row>
    <row r="67" spans="1:38" x14ac:dyDescent="0.2">
      <c r="B67" s="238" t="s">
        <v>796</v>
      </c>
      <c r="Q67" s="760" t="str">
        <f xml:space="preserve"> IF(QUOTE_Split_SoftwareHardware,IF(Francais,"Total pour les deux factures: ","Total for the two invoices: "),"")</f>
        <v/>
      </c>
      <c r="R67" s="761" t="str">
        <f>TEXT(IF(QUOTE_Split_SoftwareHardware,SUM(R61,AK61),""),"#,##0.00")</f>
        <v/>
      </c>
      <c r="T67" s="46"/>
      <c r="U67" s="46"/>
      <c r="V67" s="46"/>
      <c r="W67" s="46"/>
      <c r="X67" s="46"/>
      <c r="Y67" s="46"/>
      <c r="Z67" s="46"/>
      <c r="AA67" s="46"/>
      <c r="AB67" s="46"/>
      <c r="AC67" s="46"/>
      <c r="AD67" s="46"/>
      <c r="AE67" s="46"/>
      <c r="AF67" s="46"/>
      <c r="AG67" s="46"/>
      <c r="AH67" s="46"/>
      <c r="AI67" s="576"/>
      <c r="AJ67" s="577"/>
      <c r="AK67" s="46"/>
    </row>
    <row r="68" spans="1:38" x14ac:dyDescent="0.2">
      <c r="B68" s="238"/>
      <c r="T68" s="46"/>
      <c r="U68" s="46"/>
      <c r="V68" s="46"/>
      <c r="W68" s="46"/>
      <c r="X68" s="46"/>
      <c r="Y68" s="46"/>
      <c r="Z68" s="46"/>
      <c r="AA68" s="46"/>
      <c r="AB68" s="46"/>
      <c r="AC68" s="46"/>
      <c r="AD68" s="46"/>
      <c r="AE68" s="46"/>
      <c r="AF68" s="46"/>
      <c r="AG68" s="46"/>
      <c r="AH68" s="46"/>
      <c r="AI68" s="46"/>
      <c r="AJ68" s="46"/>
      <c r="AK68" s="46"/>
    </row>
    <row r="69" spans="1:38" x14ac:dyDescent="0.2">
      <c r="B69" s="238"/>
      <c r="T69" s="46"/>
      <c r="U69" s="46"/>
      <c r="V69" s="46"/>
      <c r="W69" s="46"/>
      <c r="X69" s="46"/>
      <c r="Y69" s="46"/>
      <c r="Z69" s="46"/>
      <c r="AA69" s="46"/>
      <c r="AB69" s="46"/>
      <c r="AC69" s="46"/>
      <c r="AD69" s="46"/>
      <c r="AE69" s="46"/>
      <c r="AF69" s="46"/>
      <c r="AG69" s="46"/>
      <c r="AH69" s="46"/>
      <c r="AI69" s="46"/>
      <c r="AJ69" s="46"/>
      <c r="AK69" s="46"/>
    </row>
    <row r="70" spans="1:38" x14ac:dyDescent="0.2">
      <c r="B70" s="238"/>
      <c r="T70" s="46"/>
      <c r="U70" s="46"/>
      <c r="V70" s="46"/>
      <c r="W70" s="46"/>
      <c r="X70" s="46"/>
      <c r="Y70" s="46"/>
      <c r="Z70" s="46"/>
      <c r="AA70" s="46"/>
      <c r="AB70" s="46"/>
      <c r="AC70" s="46"/>
      <c r="AD70" s="46"/>
      <c r="AE70" s="46"/>
      <c r="AF70" s="46"/>
      <c r="AG70" s="46"/>
      <c r="AH70" s="46"/>
      <c r="AI70" s="46"/>
      <c r="AJ70" s="46"/>
      <c r="AK70" s="46"/>
    </row>
    <row r="71" spans="1:38" ht="15.75" customHeight="1" x14ac:dyDescent="0.2">
      <c r="R71"/>
    </row>
    <row r="72" spans="1:38" ht="15.75" customHeight="1" x14ac:dyDescent="0.2">
      <c r="R72"/>
    </row>
    <row r="73" spans="1:38" ht="15.75" customHeight="1" x14ac:dyDescent="0.2">
      <c r="R73"/>
    </row>
    <row r="74" spans="1:38" ht="15.75" customHeight="1" x14ac:dyDescent="0.2">
      <c r="R74"/>
    </row>
    <row r="75" spans="1:38" ht="15.75" customHeight="1" x14ac:dyDescent="0.25">
      <c r="I75" s="335" t="str">
        <f>IF(Francais,"CONDITIONS GÉNÉRALES DE VENTE","SALES TERMS AND CONDITIONS")</f>
        <v>CONDITIONS GÉNÉRALES DE VENTE</v>
      </c>
      <c r="R75"/>
    </row>
    <row r="76" spans="1:38" ht="15.75" customHeight="1" x14ac:dyDescent="0.2">
      <c r="R76"/>
    </row>
    <row r="77" spans="1:38" ht="15.75" customHeight="1" x14ac:dyDescent="0.2">
      <c r="B77" s="846" t="str">
        <f>IF(Francais,"Le même prix pour le monde entier* est possible en acceptant les conditions générales de vente ci-dessous.",
"Same price worldwide* is made possible by accepting our sales terms &amp; conditions below.")</f>
        <v>Le même prix pour le monde entier* est possible en acceptant les conditions générales de vente ci-dessous.</v>
      </c>
      <c r="C77" s="846"/>
      <c r="D77" s="846"/>
      <c r="E77" s="846"/>
      <c r="F77" s="846"/>
      <c r="G77" s="846"/>
      <c r="H77" s="846"/>
      <c r="I77" s="846"/>
      <c r="J77" s="846"/>
      <c r="K77" s="846"/>
      <c r="L77" s="846"/>
      <c r="M77" s="846"/>
      <c r="N77" s="846"/>
      <c r="O77" s="846"/>
      <c r="P77" s="846"/>
      <c r="Q77" s="846"/>
      <c r="R77" s="846"/>
    </row>
    <row r="78" spans="1:38" ht="15.75" customHeight="1" x14ac:dyDescent="0.2">
      <c r="B78" s="846"/>
      <c r="C78" s="846"/>
      <c r="D78" s="846"/>
      <c r="E78" s="846"/>
      <c r="F78" s="846"/>
      <c r="G78" s="846"/>
      <c r="H78" s="846"/>
      <c r="I78" s="846"/>
      <c r="J78" s="846"/>
      <c r="K78" s="846"/>
      <c r="L78" s="846"/>
      <c r="M78" s="846"/>
      <c r="N78" s="846"/>
      <c r="O78" s="846"/>
      <c r="P78" s="846"/>
      <c r="Q78" s="846"/>
      <c r="R78" s="846"/>
    </row>
    <row r="79" spans="1:38" ht="15.75" customHeight="1" x14ac:dyDescent="0.2">
      <c r="B79" s="846"/>
      <c r="C79" s="846"/>
      <c r="D79" s="846"/>
      <c r="E79" s="846"/>
      <c r="F79" s="846"/>
      <c r="G79" s="846"/>
      <c r="H79" s="846"/>
      <c r="I79" s="846"/>
      <c r="J79" s="846"/>
      <c r="K79" s="846"/>
      <c r="L79" s="846"/>
      <c r="M79" s="846"/>
      <c r="N79" s="846"/>
      <c r="O79" s="846"/>
      <c r="P79" s="846"/>
      <c r="Q79" s="846"/>
      <c r="R79" s="846"/>
    </row>
    <row r="80" spans="1:38" ht="15.75" customHeight="1" x14ac:dyDescent="0.2">
      <c r="R80"/>
    </row>
    <row r="81" spans="3:18" ht="15.75" customHeight="1" x14ac:dyDescent="0.2">
      <c r="C81" s="337" t="str">
        <f>IF(Francais,
"Si vous achetez de Regent Instruments, vous acceptez ce qui suit: ",
"If you purchase from Regent Instruments, you agree to the following: "
)</f>
        <v xml:space="preserve">Si vous achetez de Regent Instruments, vous acceptez ce qui suit: </v>
      </c>
      <c r="R81"/>
    </row>
    <row r="82" spans="3:18" ht="15.75" customHeight="1" x14ac:dyDescent="0.25">
      <c r="C82" s="336" t="s">
        <v>156</v>
      </c>
      <c r="D82" s="817" t="str">
        <f>IF(Francais,"Toutes les ventes sont finales et non remboursables. Le vendeur prend le temps de répondre aux questions de l'acheteur et de vérifier que ses produits répondent aux besoins de l'acheteur avant la vente.",
"All sales are final, non refundable. Seller takes the time to answer purchaser's questions and to verify that its products fulfill purchaser's needs prior to selling."
)</f>
        <v>Toutes les ventes sont finales et non remboursables. Le vendeur prend le temps de répondre aux questions de l'acheteur et de vérifier que ses produits répondent aux besoins de l'acheteur avant la vente.</v>
      </c>
      <c r="E82" s="817"/>
      <c r="F82" s="817"/>
      <c r="G82" s="817"/>
      <c r="H82" s="817"/>
      <c r="I82" s="817"/>
      <c r="J82" s="817"/>
      <c r="K82" s="817"/>
      <c r="L82" s="817"/>
      <c r="M82" s="817"/>
      <c r="N82" s="817"/>
      <c r="O82" s="817"/>
      <c r="P82" s="817"/>
      <c r="Q82" s="817"/>
      <c r="R82" s="817"/>
    </row>
    <row r="83" spans="3:18" ht="15.75" customHeight="1" x14ac:dyDescent="0.2">
      <c r="D83" s="817"/>
      <c r="E83" s="817"/>
      <c r="F83" s="817"/>
      <c r="G83" s="817"/>
      <c r="H83" s="817"/>
      <c r="I83" s="817"/>
      <c r="J83" s="817"/>
      <c r="K83" s="817"/>
      <c r="L83" s="817"/>
      <c r="M83" s="817"/>
      <c r="N83" s="817"/>
      <c r="O83" s="817"/>
      <c r="P83" s="817"/>
      <c r="Q83" s="817"/>
      <c r="R83" s="817"/>
    </row>
    <row r="84" spans="3:18" ht="15.75" customHeight="1" x14ac:dyDescent="0.25">
      <c r="C84" s="336" t="s">
        <v>156</v>
      </c>
      <c r="D84" s="817" t="str">
        <f>IF(Francais,"L'acheteur paie les frais d'expédition et extras (frais de douane et de dédouanement, taxes locales...) non facturés par le vendeur, même à des fins de garantie. " &amp; "Il n'y a pas de taxes ou de frais canadiens sur les produits exportés.",
"Buyer pays for shipping and extra fees (customs and clearance fees, his local taxes...) not charged by seller, even for warranty purposes. There are no Canadian taxes or fees on exported goods.")</f>
        <v>L'acheteur paie les frais d'expédition et extras (frais de douane et de dédouanement, taxes locales...) non facturés par le vendeur, même à des fins de garantie. Il n'y a pas de taxes ou de frais canadiens sur les produits exportés.</v>
      </c>
      <c r="E84" s="817"/>
      <c r="F84" s="817"/>
      <c r="G84" s="817"/>
      <c r="H84" s="817"/>
      <c r="I84" s="817"/>
      <c r="J84" s="817"/>
      <c r="K84" s="817"/>
      <c r="L84" s="817"/>
      <c r="M84" s="817"/>
      <c r="N84" s="817"/>
      <c r="O84" s="817"/>
      <c r="P84" s="817"/>
      <c r="Q84" s="817"/>
      <c r="R84" s="817"/>
    </row>
    <row r="85" spans="3:18" ht="15.75" customHeight="1" x14ac:dyDescent="0.2">
      <c r="D85" s="817"/>
      <c r="E85" s="817"/>
      <c r="F85" s="817"/>
      <c r="G85" s="817"/>
      <c r="H85" s="817"/>
      <c r="I85" s="817"/>
      <c r="J85" s="817"/>
      <c r="K85" s="817"/>
      <c r="L85" s="817"/>
      <c r="M85" s="817"/>
      <c r="N85" s="817"/>
      <c r="O85" s="817"/>
      <c r="P85" s="817"/>
      <c r="Q85" s="817"/>
      <c r="R85" s="817"/>
    </row>
    <row r="86" spans="3:18" ht="15.75" customHeight="1" x14ac:dyDescent="0.25">
      <c r="C86" s="336" t="s">
        <v>156</v>
      </c>
      <c r="D86" s="817" t="str">
        <f>IF(Francais,"Les lois applicables sont celles de l'emplacement du vendeur (Canada, province de Québec) où tout le travail est effectué par les employés de Regent Instruments. " &amp; "Aucun travail n'est effectué dans les locaux ou pays de l'acheteur (par exemple, installation, formation, vente...) et le vendeur n'a pas d'employé, de bureau ou d'entreprise sur place.",
"Applicable laws are those of seller's location (Canada, Quebec Province) where all work is done by Regent Instruments' employees. "&amp;"No work is done on buyer's premises or country (e.g. installation, training, selling...) and seller has no employee, office or company there.")</f>
        <v>Les lois applicables sont celles de l'emplacement du vendeur (Canada, province de Québec) où tout le travail est effectué par les employés de Regent Instruments. Aucun travail n'est effectué dans les locaux ou pays de l'acheteur (par exemple, installation, formation, vente...) et le vendeur n'a pas d'employé, de bureau ou d'entreprise sur place.</v>
      </c>
      <c r="E86" s="817"/>
      <c r="F86" s="817"/>
      <c r="G86" s="817"/>
      <c r="H86" s="817"/>
      <c r="I86" s="817"/>
      <c r="J86" s="817"/>
      <c r="K86" s="817"/>
      <c r="L86" s="817"/>
      <c r="M86" s="817"/>
      <c r="N86" s="817"/>
      <c r="O86" s="817"/>
      <c r="P86" s="817"/>
      <c r="Q86" s="817"/>
      <c r="R86" s="817"/>
    </row>
    <row r="87" spans="3:18" ht="15.75" customHeight="1" x14ac:dyDescent="0.2">
      <c r="D87" s="817"/>
      <c r="E87" s="817"/>
      <c r="F87" s="817"/>
      <c r="G87" s="817"/>
      <c r="H87" s="817"/>
      <c r="I87" s="817"/>
      <c r="J87" s="817"/>
      <c r="K87" s="817"/>
      <c r="L87" s="817"/>
      <c r="M87" s="817"/>
      <c r="N87" s="817"/>
      <c r="O87" s="817"/>
      <c r="P87" s="817"/>
      <c r="Q87" s="817"/>
      <c r="R87" s="817"/>
    </row>
    <row r="88" spans="3:18" ht="15.75" customHeight="1" x14ac:dyDescent="0.2">
      <c r="D88" s="817"/>
      <c r="E88" s="817"/>
      <c r="F88" s="817"/>
      <c r="G88" s="817"/>
      <c r="H88" s="817"/>
      <c r="I88" s="817"/>
      <c r="J88" s="817"/>
      <c r="K88" s="817"/>
      <c r="L88" s="817"/>
      <c r="M88" s="817"/>
      <c r="N88" s="817"/>
      <c r="O88" s="817"/>
      <c r="P88" s="817"/>
      <c r="Q88" s="817"/>
      <c r="R88" s="817"/>
    </row>
    <row r="89" spans="3:18" ht="15.75" customHeight="1" x14ac:dyDescent="0.25">
      <c r="C89" s="336" t="s">
        <v>156</v>
      </c>
      <c r="D89" s="817" t="str">
        <f>IF(Francais,"Le vendeur ne modifie pas son contrat de licence de logiciel.","Seller does not modify his software licence agreement.")</f>
        <v>Le vendeur ne modifie pas son contrat de licence de logiciel.</v>
      </c>
      <c r="E89" s="817"/>
      <c r="F89" s="817"/>
      <c r="G89" s="817"/>
      <c r="H89" s="817"/>
      <c r="I89" s="817"/>
      <c r="J89" s="817"/>
      <c r="K89" s="817"/>
      <c r="L89" s="817"/>
      <c r="M89" s="817"/>
      <c r="N89" s="817"/>
      <c r="O89" s="817"/>
      <c r="P89" s="817"/>
      <c r="Q89" s="817"/>
      <c r="R89" s="817"/>
    </row>
    <row r="90" spans="3:18" ht="15.75" customHeight="1" x14ac:dyDescent="0.25">
      <c r="C90" s="336" t="s">
        <v>156</v>
      </c>
      <c r="D90" s="817" t="str">
        <f>IF(Francais,"Tout l'équipement fabriqué par Regent Instruments a été inspecté, testé et emballé avec soin. " &amp; "Il est garanti, pièces et main d'oeuvre, pour 12 mois (sauf les plats garantis 30 jours) à compter de la date d'expédition contre les défauts de fabrication à partir du point de vente. " &amp; "Cette garantie ne couvre pas l'usure, la négligence, la mauvaise utilisation, les accidents, la détérioration excessive ou les dommages causés par des réparations non autorisées.",
"All equipment manufactured by Regent Instruments has been inspected, tested and carefully packed. " &amp; "It is guaranteed, parts and labor, for 12 months (except for trays which is 30 days) from the date of shipment against manufacturing defects from the point of sale. " &amp; "This guarantee does not cover wear and tear, neglect, misuse, accidents, excessive deterioration or damage caused by unauthorized repair.")
&amp; IF(Francais,
" Contact pour garantie, RMA ou problèmes de réparation:",
" Contact for warranty, RMA or repair issues:"
) &amp; " sales@regentinstruments.com"</f>
        <v>Tout l'équipement fabriqué par Regent Instruments a été inspecté, testé et emballé avec soin. Il est garanti, pièces et main d'oeuvre, pour 12 mois (sauf les plats garantis 30 jours) à compter de la date d'expédition contre les défauts de fabrication à partir du point de vente. Cette garantie ne couvre pas l'usure, la négligence, la mauvaise utilisation, les accidents, la détérioration excessive ou les dommages causés par des réparations non autorisées. Contact pour garantie, RMA ou problèmes de réparation: sales@regentinstruments.com</v>
      </c>
      <c r="E90" s="817"/>
      <c r="F90" s="817"/>
      <c r="G90" s="817"/>
      <c r="H90" s="817"/>
      <c r="I90" s="817"/>
      <c r="J90" s="817"/>
      <c r="K90" s="817"/>
      <c r="L90" s="817"/>
      <c r="M90" s="817"/>
      <c r="N90" s="817"/>
      <c r="O90" s="817"/>
      <c r="P90" s="817"/>
      <c r="Q90" s="817"/>
      <c r="R90" s="817"/>
    </row>
    <row r="91" spans="3:18" ht="15.75" customHeight="1" x14ac:dyDescent="0.2">
      <c r="D91" s="817"/>
      <c r="E91" s="817"/>
      <c r="F91" s="817"/>
      <c r="G91" s="817"/>
      <c r="H91" s="817"/>
      <c r="I91" s="817"/>
      <c r="J91" s="817"/>
      <c r="K91" s="817"/>
      <c r="L91" s="817"/>
      <c r="M91" s="817"/>
      <c r="N91" s="817"/>
      <c r="O91" s="817"/>
      <c r="P91" s="817"/>
      <c r="Q91" s="817"/>
      <c r="R91" s="817"/>
    </row>
    <row r="92" spans="3:18" ht="15.75" customHeight="1" x14ac:dyDescent="0.2">
      <c r="D92" s="817"/>
      <c r="E92" s="817"/>
      <c r="F92" s="817"/>
      <c r="G92" s="817"/>
      <c r="H92" s="817"/>
      <c r="I92" s="817"/>
      <c r="J92" s="817"/>
      <c r="K92" s="817"/>
      <c r="L92" s="817"/>
      <c r="M92" s="817"/>
      <c r="N92" s="817"/>
      <c r="O92" s="817"/>
      <c r="P92" s="817"/>
      <c r="Q92" s="817"/>
      <c r="R92" s="817"/>
    </row>
    <row r="93" spans="3:18" ht="15.75" customHeight="1" x14ac:dyDescent="0.2">
      <c r="D93" s="817"/>
      <c r="E93" s="817"/>
      <c r="F93" s="817"/>
      <c r="G93" s="817"/>
      <c r="H93" s="817"/>
      <c r="I93" s="817"/>
      <c r="J93" s="817"/>
      <c r="K93" s="817"/>
      <c r="L93" s="817"/>
      <c r="M93" s="817"/>
      <c r="N93" s="817"/>
      <c r="O93" s="817"/>
      <c r="P93" s="817"/>
      <c r="Q93" s="817"/>
      <c r="R93" s="817"/>
    </row>
    <row r="94" spans="3:18" ht="15.75" customHeight="1" x14ac:dyDescent="0.2">
      <c r="D94" s="817"/>
      <c r="E94" s="817"/>
      <c r="F94" s="817"/>
      <c r="G94" s="817"/>
      <c r="H94" s="817"/>
      <c r="I94" s="817"/>
      <c r="J94" s="817"/>
      <c r="K94" s="817"/>
      <c r="L94" s="817"/>
      <c r="M94" s="817"/>
      <c r="N94" s="817"/>
      <c r="O94" s="817"/>
      <c r="P94" s="817"/>
      <c r="Q94" s="817"/>
      <c r="R94" s="817"/>
    </row>
    <row r="95" spans="3:18" ht="15.75" customHeight="1" x14ac:dyDescent="0.25">
      <c r="C95" s="336" t="s">
        <v>156</v>
      </c>
      <c r="D95" s="817" t="str">
        <f>IF(Francais,"PAS PAYÉ, PAS EXPÉDIÉ. Toutes les commandes internationales (hors Canada) doivent être prépayées (même prix pour les cartes de crédit ou les virements bancaires)." &amp; "Les prix indiqués ne sont PAS valables pour les clients qui nécessitent la lecture, l'approbation ou la négociation " &amp; "de contrats d'achat complexes ou de conditions générales de vente. Compte tenu de la charge de travail que représente ce processus, le vendeur ne l'effectuera que pour les ventes de 100 000$ ou plus.",
"NO PAYMENT, NO SHIPMENT. All international orders (outside Canada) must be pre-paid (same price for credit cards or wire transfer). Quoted prices are NOT valid for customers who require the reading, approving or negotiating " &amp; "of complex purchasing contracts or terms and conditions. Given the work involved in going through this process, the seller will do it only for sales of 100 000$ or more."
)</f>
        <v>PAS PAYÉ, PAS EXPÉDIÉ. Toutes les commandes internationales (hors Canada) doivent être prépayées (même prix pour les cartes de crédit ou les virements bancaires).Les prix indiqués ne sont PAS valables pour les clients qui nécessitent la lecture, l'approbation ou la négociation de contrats d'achat complexes ou de conditions générales de vente. Compte tenu de la charge de travail que représente ce processus, le vendeur ne l'effectuera que pour les ventes de 100 000$ ou plus.</v>
      </c>
      <c r="E95" s="817"/>
      <c r="F95" s="817"/>
      <c r="G95" s="817"/>
      <c r="H95" s="817"/>
      <c r="I95" s="817"/>
      <c r="J95" s="817"/>
      <c r="K95" s="817"/>
      <c r="L95" s="817"/>
      <c r="M95" s="817"/>
      <c r="N95" s="817"/>
      <c r="O95" s="817"/>
      <c r="P95" s="817"/>
      <c r="Q95" s="817"/>
      <c r="R95" s="817"/>
    </row>
    <row r="96" spans="3:18" ht="15.75" customHeight="1" x14ac:dyDescent="0.2">
      <c r="D96" s="817"/>
      <c r="E96" s="817"/>
      <c r="F96" s="817"/>
      <c r="G96" s="817"/>
      <c r="H96" s="817"/>
      <c r="I96" s="817"/>
      <c r="J96" s="817"/>
      <c r="K96" s="817"/>
      <c r="L96" s="817"/>
      <c r="M96" s="817"/>
      <c r="N96" s="817"/>
      <c r="O96" s="817"/>
      <c r="P96" s="817"/>
      <c r="Q96" s="817"/>
      <c r="R96" s="817"/>
    </row>
    <row r="97" spans="2:18" ht="15.75" customHeight="1" x14ac:dyDescent="0.2">
      <c r="D97" s="817"/>
      <c r="E97" s="817"/>
      <c r="F97" s="817"/>
      <c r="G97" s="817"/>
      <c r="H97" s="817"/>
      <c r="I97" s="817"/>
      <c r="J97" s="817"/>
      <c r="K97" s="817"/>
      <c r="L97" s="817"/>
      <c r="M97" s="817"/>
      <c r="N97" s="817"/>
      <c r="O97" s="817"/>
      <c r="P97" s="817"/>
      <c r="Q97" s="817"/>
      <c r="R97" s="817"/>
    </row>
    <row r="98" spans="2:18" ht="15.75" customHeight="1" x14ac:dyDescent="0.2">
      <c r="D98" s="817"/>
      <c r="E98" s="817"/>
      <c r="F98" s="817"/>
      <c r="G98" s="817"/>
      <c r="H98" s="817"/>
      <c r="I98" s="817"/>
      <c r="J98" s="817"/>
      <c r="K98" s="817"/>
      <c r="L98" s="817"/>
      <c r="M98" s="817"/>
      <c r="N98" s="817"/>
      <c r="O98" s="817"/>
      <c r="P98" s="817"/>
      <c r="Q98" s="817"/>
      <c r="R98" s="817"/>
    </row>
    <row r="99" spans="2:18" ht="15.75" customHeight="1" x14ac:dyDescent="0.25">
      <c r="C99" s="336" t="s">
        <v>156</v>
      </c>
      <c r="D99" s="817" t="str">
        <f>IF(Francais,"Le vendeur ne s'enregistre pas comme vendeur pour les ventes sous 100 000$. "&amp;"Toutes l'information nécessaires pour un virement bancaire est sur nos devis et factures et le paiement par carte de crédit est une alternative efficace et facile.","Seller does not register as a vendor for sales below 100 000$. All information required to make wire transfer are on our Quotes and Invoices and credit card payment is an efficient and easy alternative.")</f>
        <v>Le vendeur ne s'enregistre pas comme vendeur pour les ventes sous 100 000$. Toutes l'information nécessaires pour un virement bancaire est sur nos devis et factures et le paiement par carte de crédit est une alternative efficace et facile.</v>
      </c>
      <c r="E99" s="817"/>
      <c r="F99" s="817"/>
      <c r="G99" s="817"/>
      <c r="H99" s="817"/>
      <c r="I99" s="817"/>
      <c r="J99" s="817"/>
      <c r="K99" s="817"/>
      <c r="L99" s="817"/>
      <c r="M99" s="817"/>
      <c r="N99" s="817"/>
      <c r="O99" s="817"/>
      <c r="P99" s="817"/>
      <c r="Q99" s="817"/>
      <c r="R99" s="817"/>
    </row>
    <row r="100" spans="2:18" ht="15.75" customHeight="1" x14ac:dyDescent="0.2">
      <c r="D100" s="817"/>
      <c r="E100" s="817"/>
      <c r="F100" s="817"/>
      <c r="G100" s="817"/>
      <c r="H100" s="817"/>
      <c r="I100" s="817"/>
      <c r="J100" s="817"/>
      <c r="K100" s="817"/>
      <c r="L100" s="817"/>
      <c r="M100" s="817"/>
      <c r="N100" s="817"/>
      <c r="O100" s="817"/>
      <c r="P100" s="817"/>
      <c r="Q100" s="817"/>
      <c r="R100" s="817"/>
    </row>
    <row r="101" spans="2:18" ht="15.75" customHeight="1" x14ac:dyDescent="0.25">
      <c r="C101" s="336" t="s">
        <v>156</v>
      </c>
      <c r="D101" s="818" t="str">
        <f>IF(Francais,"Les termes et conditions du vendeur prévalent en cas de conflit avec ceux de l'acheteur.",
"Seller's terms and conditions prevail in case of conflicts with buyer's.")</f>
        <v>Les termes et conditions du vendeur prévalent en cas de conflit avec ceux de l'acheteur.</v>
      </c>
      <c r="E101" s="818"/>
      <c r="F101" s="818"/>
      <c r="G101" s="818"/>
      <c r="H101" s="818"/>
      <c r="I101" s="818"/>
      <c r="J101" s="818"/>
      <c r="K101" s="818"/>
      <c r="L101" s="818"/>
      <c r="M101" s="818"/>
      <c r="N101" s="818"/>
      <c r="O101" s="818"/>
      <c r="P101" s="818"/>
      <c r="Q101" s="818"/>
      <c r="R101" s="818"/>
    </row>
    <row r="102" spans="2:18" ht="15.75" customHeight="1" x14ac:dyDescent="0.2"/>
    <row r="103" spans="2:18" ht="15.75" customHeight="1" x14ac:dyDescent="0.2">
      <c r="C103" s="562" t="str">
        <f>IF(NOT(QUOTE_DistDisableSameClient),"*Note 1:","*Note:")</f>
        <v>*Note 1:</v>
      </c>
      <c r="D103" s="816" t="str">
        <f>IF(Francais, "Nous n'avons qu'une seule liste de prix, disponible en 3 devises ($Can, USD et €) pour les clients du monde entier. " &amp;
"Notez qu'il y a des pays où nous ne pouvons pas expédier en raison des exigences des autorités locales (p.ex.  Certificat d'Origine, documents authentifiés...) ou des restrictions canadiennes à l'exportation. En cas de doute, contactez-nous. " &amp; "
Si vous achetez auprès d'un distributeur, le prix peut être plus élevé pour tenir compte du travail supplémentaire à fournir, p. ex :",
"We only have one price list, available in 3 currencies ($Can, USD and €) for worldwide customers. " &amp; "Note that there are countries we cannot ship to due to local authorities requirements (e.g. Certificate of Origin, authenticated documents...) or Canadian exports restrictions. If unsure, contact us. " &amp; "
If you buy from a distributor, the price might be higher to account for extra work they might provide such as:")</f>
        <v>Nous n'avons qu'une seule liste de prix, disponible en 3 devises ($Can, USD et €) pour les clients du monde entier. Notez qu'il y a des pays où nous ne pouvons pas expédier en raison des exigences des autorités locales (p.ex.  Certificat d'Origine, documents authentifiés...) ou des restrictions canadiennes à l'exportation. En cas de doute, contactez-nous. 
Si vous achetez auprès d'un distributeur, le prix peut être plus élevé pour tenir compte du travail supplémentaire à fournir, p. ex :</v>
      </c>
      <c r="E103" s="816"/>
      <c r="F103" s="816"/>
      <c r="G103" s="816"/>
      <c r="H103" s="816"/>
      <c r="I103" s="816"/>
      <c r="J103" s="816"/>
      <c r="K103" s="816"/>
      <c r="L103" s="816"/>
      <c r="M103" s="816"/>
      <c r="N103" s="816"/>
      <c r="O103" s="816"/>
      <c r="P103" s="816"/>
      <c r="Q103" s="816"/>
      <c r="R103" s="816"/>
    </row>
    <row r="104" spans="2:18" ht="15.75" customHeight="1" x14ac:dyDescent="0.2">
      <c r="B104"/>
      <c r="D104" s="816"/>
      <c r="E104" s="816"/>
      <c r="F104" s="816"/>
      <c r="G104" s="816"/>
      <c r="H104" s="816"/>
      <c r="I104" s="816"/>
      <c r="J104" s="816"/>
      <c r="K104" s="816"/>
      <c r="L104" s="816"/>
      <c r="M104" s="816"/>
      <c r="N104" s="816"/>
      <c r="O104" s="816"/>
      <c r="P104" s="816"/>
      <c r="Q104" s="816"/>
      <c r="R104" s="816"/>
    </row>
    <row r="105" spans="2:18" ht="15.75" customHeight="1" x14ac:dyDescent="0.2">
      <c r="D105" s="816"/>
      <c r="E105" s="816"/>
      <c r="F105" s="816"/>
      <c r="G105" s="816"/>
      <c r="H105" s="816"/>
      <c r="I105" s="816"/>
      <c r="J105" s="816"/>
      <c r="K105" s="816"/>
      <c r="L105" s="816"/>
      <c r="M105" s="816"/>
      <c r="N105" s="816"/>
      <c r="O105" s="816"/>
      <c r="P105" s="816"/>
      <c r="Q105" s="816"/>
      <c r="R105" s="816"/>
    </row>
    <row r="106" spans="2:18" ht="15.75" customHeight="1" x14ac:dyDescent="0.2">
      <c r="D106" s="816"/>
      <c r="E106" s="816"/>
      <c r="F106" s="816"/>
      <c r="G106" s="816"/>
      <c r="H106" s="816"/>
      <c r="I106" s="816"/>
      <c r="J106" s="816"/>
      <c r="K106" s="816"/>
      <c r="L106" s="816"/>
      <c r="M106" s="816"/>
      <c r="N106" s="816"/>
      <c r="O106" s="816"/>
      <c r="P106" s="816"/>
      <c r="Q106" s="816"/>
      <c r="R106" s="816"/>
    </row>
    <row r="107" spans="2:18" ht="15.75" customHeight="1" x14ac:dyDescent="0.2">
      <c r="D107" s="819" t="str">
        <f>IF(Francais," • Financement pour les clients qui paient après la livraison.
 • Production des documents d'importation (certificats, 
     dédouanement...).
 • Paiement des frais de douane et de dédouanement d'importation." &amp; "
 • S'inscrire en tant que vendeur dans le système d'achat des clients."," • Financing for customers that pay after delivery.
 • Producing import documents (certificates, customs clearance...).
 • Paying customs fees and import clearance fees." &amp; "
 • Register as a seller on the customer purchasing system.")</f>
        <v xml:space="preserve"> • Financement pour les clients qui paient après la livraison.
 • Production des documents d'importation (certificats, 
     dédouanement...).
 • Paiement des frais de douane et de dédouanement d'importation.
 • S'inscrire en tant que vendeur dans le système d'achat des clients.</v>
      </c>
      <c r="E107" s="819"/>
      <c r="F107" s="819"/>
      <c r="G107" s="819"/>
      <c r="H107" s="819"/>
      <c r="I107" s="819"/>
      <c r="J107" s="819"/>
      <c r="K107" s="819"/>
      <c r="L107" s="819" t="str">
        <f>IF(Francais," • Signer des contrats légaux et respecter les lois locales.
 • Soumission d'offres.
 • Traduction de documents (avant ou après la vente).
 • Effectuer l'installation et/ou entraînement sur place.
 • Payer les taxes locales (TVA...)."," • Sign legal contracts and follow local laws.
 • Bidding.
 • Translation of documents (pre or post sale).
 • Do on-site installation and/or training.
 • Pay local taxes (VAT...).")</f>
        <v xml:space="preserve"> • Signer des contrats légaux et respecter les lois locales.
 • Soumission d'offres.
 • Traduction de documents (avant ou après la vente).
 • Effectuer l'installation et/ou entraînement sur place.
 • Payer les taxes locales (TVA...).</v>
      </c>
      <c r="M107" s="819"/>
      <c r="N107" s="819"/>
      <c r="O107" s="819"/>
      <c r="P107" s="819"/>
      <c r="Q107" s="819"/>
      <c r="R107" s="819"/>
    </row>
    <row r="108" spans="2:18" ht="15.75" customHeight="1" x14ac:dyDescent="0.2">
      <c r="D108" s="819"/>
      <c r="E108" s="819"/>
      <c r="F108" s="819"/>
      <c r="G108" s="819"/>
      <c r="H108" s="819"/>
      <c r="I108" s="819"/>
      <c r="J108" s="819"/>
      <c r="K108" s="819"/>
      <c r="L108" s="819"/>
      <c r="M108" s="819"/>
      <c r="N108" s="819"/>
      <c r="O108" s="819"/>
      <c r="P108" s="819"/>
      <c r="Q108" s="819"/>
      <c r="R108" s="819"/>
    </row>
    <row r="109" spans="2:18" ht="15.75" customHeight="1" x14ac:dyDescent="0.2">
      <c r="D109" s="819"/>
      <c r="E109" s="819"/>
      <c r="F109" s="819"/>
      <c r="G109" s="819"/>
      <c r="H109" s="819"/>
      <c r="I109" s="819"/>
      <c r="J109" s="819"/>
      <c r="K109" s="819"/>
      <c r="L109" s="819"/>
      <c r="M109" s="819"/>
      <c r="N109" s="819"/>
      <c r="O109" s="819"/>
      <c r="P109" s="819"/>
      <c r="Q109" s="819"/>
      <c r="R109" s="819"/>
    </row>
    <row r="110" spans="2:18" ht="15.75" customHeight="1" x14ac:dyDescent="0.2">
      <c r="D110" s="819"/>
      <c r="E110" s="819"/>
      <c r="F110" s="819"/>
      <c r="G110" s="819"/>
      <c r="H110" s="819"/>
      <c r="I110" s="819"/>
      <c r="J110" s="819"/>
      <c r="K110" s="819"/>
      <c r="L110" s="819"/>
      <c r="M110" s="819"/>
      <c r="N110" s="819"/>
      <c r="O110" s="819"/>
      <c r="P110" s="819"/>
      <c r="Q110" s="819"/>
      <c r="R110" s="819"/>
    </row>
    <row r="111" spans="2:18" ht="15.75" customHeight="1" x14ac:dyDescent="0.2">
      <c r="C111" s="562" t="str">
        <f>IF(NOT(QUOTE_DistDisableSameClient),"Note 2:","")</f>
        <v>Note 2:</v>
      </c>
      <c r="D111" s="816" t="str">
        <f>IF(NOT(QUOTE_DistDisableSameClient),
IF(Francais,"Notre liste de prix permet de diviser une commande en deux commandes différentes, chacune avec son propre numéro de facture, afin que les prix soient plus bas (ce qui peut simplifier la procédure d'achat en dessous d'un certain montant). "  &amp; "Une facture contient les logiciels (qui peuvent être " &amp; IF(NOT(QUOTE_DistDisableSameClient),"téléchargés ou ","") &amp; "expédiés par transporteur) et l'autre, le matériel. "  &amp; "Le fait de ne pas payer l'assurance du logiciel par le transporteur réduit les frais d'expédition. " &amp;
IF(NOT(QUOTE_DistDisableSameClient),"Voir les cases à cocher ""Split in 2 Invoices"" &amp; ""Internet Download"" sur l'onglet ""Quote"".",
"Voir la case à cocher ""Split in 2 Invoices"" sur l'onglet ""Quote""."),
"Our price list allows to split an order in two different orders, each with their own invoice number, so that prices are lower (which can simplify the purchasing procedure when below a certain amount). " &amp; "One invoice contains software items (which can be " &amp; IF(NOT(QUOTE_DistDisableSameClient),"downloaded or  ","") &amp; "shipped by carrier) and the other, hardware. " &amp; "Not paying to insure the software by the carrier reduces shipping costs. " &amp;
IF(NOT(QUOTE_DistDisableSameClient),"See the ""Split in 2 Invoices"" &amp; ""Internet Download"" check boxes on the ""Quote"" sheet.","See the ""Split in 2 Invoices"" check box on the ""Quote"" sheet.")),
"")</f>
        <v>Notre liste de prix permet de diviser une commande en deux commandes différentes, chacune avec son propre numéro de facture, afin que les prix soient plus bas (ce qui peut simplifier la procédure d'achat en dessous d'un certain montant). Une facture contient les logiciels (qui peuvent être téléchargés ou expédiés par transporteur) et l'autre, le matériel. Le fait de ne pas payer l'assurance du logiciel par le transporteur réduit les frais d'expédition. Voir les cases à cocher "Split in 2 Invoices" &amp; "Internet Download" sur l'onglet "Quote".</v>
      </c>
      <c r="E111" s="816"/>
      <c r="F111" s="816"/>
      <c r="G111" s="816"/>
      <c r="H111" s="816"/>
      <c r="I111" s="816"/>
      <c r="J111" s="816"/>
      <c r="K111" s="816"/>
      <c r="L111" s="816"/>
      <c r="M111" s="816"/>
      <c r="N111" s="816"/>
      <c r="O111" s="816"/>
      <c r="P111" s="816"/>
      <c r="Q111" s="816"/>
      <c r="R111" s="816"/>
    </row>
    <row r="112" spans="2:18" ht="15.75" customHeight="1" x14ac:dyDescent="0.2">
      <c r="D112" s="816"/>
      <c r="E112" s="816"/>
      <c r="F112" s="816"/>
      <c r="G112" s="816"/>
      <c r="H112" s="816"/>
      <c r="I112" s="816"/>
      <c r="J112" s="816"/>
      <c r="K112" s="816"/>
      <c r="L112" s="816"/>
      <c r="M112" s="816"/>
      <c r="N112" s="816"/>
      <c r="O112" s="816"/>
      <c r="P112" s="816"/>
      <c r="Q112" s="816"/>
      <c r="R112" s="816"/>
    </row>
    <row r="113" spans="4:18" ht="15.75" customHeight="1" x14ac:dyDescent="0.2">
      <c r="D113" s="816"/>
      <c r="E113" s="816"/>
      <c r="F113" s="816"/>
      <c r="G113" s="816"/>
      <c r="H113" s="816"/>
      <c r="I113" s="816"/>
      <c r="J113" s="816"/>
      <c r="K113" s="816"/>
      <c r="L113" s="816"/>
      <c r="M113" s="816"/>
      <c r="N113" s="816"/>
      <c r="O113" s="816"/>
      <c r="P113" s="816"/>
      <c r="Q113" s="816"/>
      <c r="R113" s="816"/>
    </row>
    <row r="114" spans="4:18" ht="15.75" customHeight="1" x14ac:dyDescent="0.2">
      <c r="D114" s="816"/>
      <c r="E114" s="816"/>
      <c r="F114" s="816"/>
      <c r="G114" s="816"/>
      <c r="H114" s="816"/>
      <c r="I114" s="816"/>
      <c r="J114" s="816"/>
      <c r="K114" s="816"/>
      <c r="L114" s="816"/>
      <c r="M114" s="816"/>
      <c r="N114" s="816"/>
      <c r="O114" s="816"/>
      <c r="P114" s="816"/>
      <c r="Q114" s="816"/>
      <c r="R114" s="816"/>
    </row>
    <row r="115" spans="4:18" ht="15.75" customHeight="1" x14ac:dyDescent="0.2">
      <c r="D115" s="816"/>
      <c r="E115" s="816"/>
      <c r="F115" s="816"/>
      <c r="G115" s="816"/>
      <c r="H115" s="816"/>
      <c r="I115" s="816"/>
      <c r="J115" s="816"/>
      <c r="K115" s="816"/>
      <c r="L115" s="816"/>
      <c r="M115" s="816"/>
      <c r="N115" s="816"/>
      <c r="O115" s="816"/>
      <c r="P115" s="816"/>
      <c r="Q115" s="816"/>
      <c r="R115" s="816"/>
    </row>
    <row r="116" spans="4:18" ht="15.75" customHeight="1" x14ac:dyDescent="0.2">
      <c r="D116" s="563"/>
      <c r="E116" s="563"/>
      <c r="F116" s="563"/>
      <c r="G116" s="563"/>
      <c r="H116" s="563"/>
      <c r="I116" s="563"/>
      <c r="J116" s="563"/>
      <c r="K116" s="563"/>
      <c r="L116" s="563"/>
      <c r="M116" s="563"/>
      <c r="N116" s="563"/>
      <c r="O116" s="563"/>
      <c r="P116" s="563"/>
      <c r="Q116" s="563"/>
      <c r="R116" s="563"/>
    </row>
    <row r="117" spans="4:18" ht="15.75" customHeight="1" x14ac:dyDescent="0.2">
      <c r="D117" s="563"/>
      <c r="E117" s="563"/>
      <c r="F117" s="563"/>
      <c r="G117" s="563"/>
      <c r="H117" s="563"/>
      <c r="I117" s="563"/>
      <c r="J117" s="563"/>
      <c r="K117" s="563"/>
      <c r="L117" s="563"/>
      <c r="M117" s="563"/>
      <c r="N117" s="563"/>
      <c r="O117" s="563"/>
      <c r="P117" s="563"/>
      <c r="Q117" s="563"/>
      <c r="R117" s="563"/>
    </row>
  </sheetData>
  <sheetProtection algorithmName="SHA-512" hashValue="885XoLLJPSH4L3WDs6MRXO0qi72L/b0qT6yr4YumBmIcC+68eCYkVkH2oS82FgHSUdgYeKpmoaRWCwENAoQY2g==" saltValue="aXerDvQruGMh78e+e9ufsA==" spinCount="100000" sheet="1" objects="1" scenarios="1" selectLockedCells="1"/>
  <mergeCells count="237">
    <mergeCell ref="AJ14:AK14"/>
    <mergeCell ref="M6:P6"/>
    <mergeCell ref="AG12:AI12"/>
    <mergeCell ref="AJ12:AK12"/>
    <mergeCell ref="AG9:AK10"/>
    <mergeCell ref="AG13:AI13"/>
    <mergeCell ref="M7:O7"/>
    <mergeCell ref="P7:R7"/>
    <mergeCell ref="AF7:AH7"/>
    <mergeCell ref="AI7:AK7"/>
    <mergeCell ref="AB12:AE12"/>
    <mergeCell ref="AB13:AE13"/>
    <mergeCell ref="AB9:AE10"/>
    <mergeCell ref="AJ13:AK13"/>
    <mergeCell ref="AJ6:AK6"/>
    <mergeCell ref="B9:G10"/>
    <mergeCell ref="I9:L10"/>
    <mergeCell ref="B14:G14"/>
    <mergeCell ref="I14:L14"/>
    <mergeCell ref="U14:Z14"/>
    <mergeCell ref="I12:L12"/>
    <mergeCell ref="N12:P12"/>
    <mergeCell ref="Q12:R12"/>
    <mergeCell ref="U12:Z12"/>
    <mergeCell ref="U13:Z13"/>
    <mergeCell ref="U9:Z10"/>
    <mergeCell ref="B15:G15"/>
    <mergeCell ref="AG15:AI15"/>
    <mergeCell ref="C18:G18"/>
    <mergeCell ref="B12:G12"/>
    <mergeCell ref="O22:P22"/>
    <mergeCell ref="X22:Y22"/>
    <mergeCell ref="AB14:AE14"/>
    <mergeCell ref="AB15:AE15"/>
    <mergeCell ref="AB16:AE16"/>
    <mergeCell ref="I17:L17"/>
    <mergeCell ref="N19:P19"/>
    <mergeCell ref="B13:G13"/>
    <mergeCell ref="B17:G17"/>
    <mergeCell ref="B16:G16"/>
    <mergeCell ref="E22:F22"/>
    <mergeCell ref="N17:P17"/>
    <mergeCell ref="U15:Z15"/>
    <mergeCell ref="N15:P15"/>
    <mergeCell ref="AO17:AR17"/>
    <mergeCell ref="Q15:R16"/>
    <mergeCell ref="N18:P18"/>
    <mergeCell ref="AG18:AI18"/>
    <mergeCell ref="J18:L18"/>
    <mergeCell ref="V18:Z18"/>
    <mergeCell ref="AC18:AE18"/>
    <mergeCell ref="AJ15:AK16"/>
    <mergeCell ref="Q1:R1"/>
    <mergeCell ref="N9:R10"/>
    <mergeCell ref="AJ1:AK1"/>
    <mergeCell ref="M2:P2"/>
    <mergeCell ref="M3:P3"/>
    <mergeCell ref="M4:P4"/>
    <mergeCell ref="M5:P5"/>
    <mergeCell ref="AF2:AI2"/>
    <mergeCell ref="AF3:AI3"/>
    <mergeCell ref="AF4:AI4"/>
    <mergeCell ref="AF5:AI5"/>
    <mergeCell ref="Q5:R5"/>
    <mergeCell ref="AJ4:AK4"/>
    <mergeCell ref="AJ5:AK5"/>
    <mergeCell ref="Q2:R2"/>
    <mergeCell ref="AJ2:AK2"/>
    <mergeCell ref="Q3:R3"/>
    <mergeCell ref="Q6:R6"/>
    <mergeCell ref="AJ3:AK3"/>
    <mergeCell ref="K5:L5"/>
    <mergeCell ref="Q4:R4"/>
    <mergeCell ref="AH22:AI22"/>
    <mergeCell ref="I13:L13"/>
    <mergeCell ref="N13:P13"/>
    <mergeCell ref="Q13:R13"/>
    <mergeCell ref="U17:Z17"/>
    <mergeCell ref="AB17:AE17"/>
    <mergeCell ref="AG17:AI17"/>
    <mergeCell ref="U16:Z16"/>
    <mergeCell ref="I15:L15"/>
    <mergeCell ref="I16:L16"/>
    <mergeCell ref="AG14:AI14"/>
    <mergeCell ref="N14:P14"/>
    <mergeCell ref="Q14:R14"/>
    <mergeCell ref="AG19:AI19"/>
    <mergeCell ref="I7:J7"/>
    <mergeCell ref="AF6:AI6"/>
    <mergeCell ref="AH33:AI33"/>
    <mergeCell ref="E30:N30"/>
    <mergeCell ref="O30:P30"/>
    <mergeCell ref="X30:AG30"/>
    <mergeCell ref="AH30:AI30"/>
    <mergeCell ref="E27:N27"/>
    <mergeCell ref="O27:P27"/>
    <mergeCell ref="X27:AG27"/>
    <mergeCell ref="AH27:AI27"/>
    <mergeCell ref="E28:N28"/>
    <mergeCell ref="O28:P28"/>
    <mergeCell ref="X28:AG28"/>
    <mergeCell ref="AH28:AI28"/>
    <mergeCell ref="E29:N29"/>
    <mergeCell ref="O29:P29"/>
    <mergeCell ref="AH29:AI29"/>
    <mergeCell ref="E33:N33"/>
    <mergeCell ref="X29:AG29"/>
    <mergeCell ref="O33:P33"/>
    <mergeCell ref="X33:AG33"/>
    <mergeCell ref="AH23:AI23"/>
    <mergeCell ref="E31:N31"/>
    <mergeCell ref="O31:P31"/>
    <mergeCell ref="X31:AG31"/>
    <mergeCell ref="AH31:AI31"/>
    <mergeCell ref="E32:N32"/>
    <mergeCell ref="O32:P32"/>
    <mergeCell ref="X32:AG32"/>
    <mergeCell ref="AH32:AI32"/>
    <mergeCell ref="X25:AG25"/>
    <mergeCell ref="AH25:AI25"/>
    <mergeCell ref="E24:N24"/>
    <mergeCell ref="O24:P24"/>
    <mergeCell ref="X24:AG24"/>
    <mergeCell ref="AH24:AI24"/>
    <mergeCell ref="E23:N23"/>
    <mergeCell ref="X23:AG23"/>
    <mergeCell ref="O26:P26"/>
    <mergeCell ref="X26:AG26"/>
    <mergeCell ref="AH26:AI26"/>
    <mergeCell ref="E25:N25"/>
    <mergeCell ref="O25:P25"/>
    <mergeCell ref="O23:P23"/>
    <mergeCell ref="E26:N26"/>
    <mergeCell ref="AH34:AI34"/>
    <mergeCell ref="AH37:AI37"/>
    <mergeCell ref="E38:N38"/>
    <mergeCell ref="O38:P38"/>
    <mergeCell ref="X38:AG38"/>
    <mergeCell ref="AH38:AI38"/>
    <mergeCell ref="E35:N35"/>
    <mergeCell ref="O35:P35"/>
    <mergeCell ref="X35:AG35"/>
    <mergeCell ref="AH35:AI35"/>
    <mergeCell ref="E36:N36"/>
    <mergeCell ref="O36:P36"/>
    <mergeCell ref="X36:AG36"/>
    <mergeCell ref="AH36:AI36"/>
    <mergeCell ref="E37:N37"/>
    <mergeCell ref="O37:P37"/>
    <mergeCell ref="X37:AG37"/>
    <mergeCell ref="E34:N34"/>
    <mergeCell ref="O34:P34"/>
    <mergeCell ref="X34:AG34"/>
    <mergeCell ref="E39:N39"/>
    <mergeCell ref="O39:P39"/>
    <mergeCell ref="X39:AG39"/>
    <mergeCell ref="AH39:AI39"/>
    <mergeCell ref="E40:N40"/>
    <mergeCell ref="O40:P40"/>
    <mergeCell ref="X40:AG40"/>
    <mergeCell ref="AH40:AI40"/>
    <mergeCell ref="O46:P46"/>
    <mergeCell ref="X46:AG46"/>
    <mergeCell ref="E44:N44"/>
    <mergeCell ref="O44:P44"/>
    <mergeCell ref="X44:AG44"/>
    <mergeCell ref="AH44:AI44"/>
    <mergeCell ref="E45:N45"/>
    <mergeCell ref="O45:P45"/>
    <mergeCell ref="X45:AG45"/>
    <mergeCell ref="O55:P55"/>
    <mergeCell ref="Y55:AG55"/>
    <mergeCell ref="E53:N53"/>
    <mergeCell ref="X47:AG47"/>
    <mergeCell ref="E41:N41"/>
    <mergeCell ref="O41:P41"/>
    <mergeCell ref="X41:AG41"/>
    <mergeCell ref="E46:N46"/>
    <mergeCell ref="AH47:AI47"/>
    <mergeCell ref="AH45:AI45"/>
    <mergeCell ref="AH46:AI46"/>
    <mergeCell ref="E47:N47"/>
    <mergeCell ref="O47:P47"/>
    <mergeCell ref="AH41:AI41"/>
    <mergeCell ref="E42:N42"/>
    <mergeCell ref="O42:P42"/>
    <mergeCell ref="X42:AG42"/>
    <mergeCell ref="AH42:AI42"/>
    <mergeCell ref="E43:N43"/>
    <mergeCell ref="O43:P43"/>
    <mergeCell ref="X43:AG43"/>
    <mergeCell ref="AH43:AI43"/>
    <mergeCell ref="AH52:AI52"/>
    <mergeCell ref="E52:N52"/>
    <mergeCell ref="O54:P54"/>
    <mergeCell ref="X54:AG54"/>
    <mergeCell ref="AH48:AI48"/>
    <mergeCell ref="AH51:AI51"/>
    <mergeCell ref="AH49:AI49"/>
    <mergeCell ref="E50:N50"/>
    <mergeCell ref="O50:P50"/>
    <mergeCell ref="X50:AG50"/>
    <mergeCell ref="AH50:AI50"/>
    <mergeCell ref="E51:N51"/>
    <mergeCell ref="E49:N49"/>
    <mergeCell ref="O49:P49"/>
    <mergeCell ref="X49:AG49"/>
    <mergeCell ref="O51:P51"/>
    <mergeCell ref="X51:AG51"/>
    <mergeCell ref="E48:N48"/>
    <mergeCell ref="O48:P48"/>
    <mergeCell ref="X48:AG48"/>
    <mergeCell ref="AH54:AI54"/>
    <mergeCell ref="K7:L7"/>
    <mergeCell ref="E55:N55"/>
    <mergeCell ref="O52:P52"/>
    <mergeCell ref="X52:AG52"/>
    <mergeCell ref="O53:P53"/>
    <mergeCell ref="X53:AG53"/>
    <mergeCell ref="AH55:AI55"/>
    <mergeCell ref="D111:R115"/>
    <mergeCell ref="N63:R64"/>
    <mergeCell ref="AG63:AK64"/>
    <mergeCell ref="D101:R101"/>
    <mergeCell ref="D82:R83"/>
    <mergeCell ref="D99:R100"/>
    <mergeCell ref="D103:R106"/>
    <mergeCell ref="D89:R89"/>
    <mergeCell ref="D95:R98"/>
    <mergeCell ref="D107:K110"/>
    <mergeCell ref="L107:R110"/>
    <mergeCell ref="D90:R94"/>
    <mergeCell ref="D84:R85"/>
    <mergeCell ref="D86:R88"/>
    <mergeCell ref="B77:R79"/>
    <mergeCell ref="AH53:AI53"/>
    <mergeCell ref="E54:N54"/>
  </mergeCells>
  <conditionalFormatting sqref="AI56:AK62">
    <cfRule type="expression" dxfId="144" priority="4">
      <formula>IF(QUOTE_Split_SoftwareHardware,0,1)</formula>
    </cfRule>
  </conditionalFormatting>
  <conditionalFormatting sqref="Q12:R12">
    <cfRule type="expression" dxfId="143" priority="2">
      <formula>IF(AND(QUOTE_Split_SoftwareHardware,QUOTE_InternetDownload),1,0)</formula>
    </cfRule>
  </conditionalFormatting>
  <hyperlinks>
    <hyperlink ref="N65" r:id="rId1" xr:uid="{3B13278A-0996-4C5C-B628-E186656EC431}"/>
    <hyperlink ref="AG65" r:id="rId2" xr:uid="{A148A395-E4C2-4FA1-AC64-3570EA6B7E1A}"/>
  </hyperlinks>
  <pageMargins left="0.23622047244094491" right="0.23622047244094491" top="0.31496062992125984" bottom="0.11811023622047245" header="0.31496062992125984" footer="0.70866141732283472"/>
  <pageSetup scale="99" orientation="portrait" horizontalDpi="1200" verticalDpi="1200" r:id="rId3"/>
  <colBreaks count="1" manualBreakCount="1">
    <brk id="19" max="1048575" man="1"/>
  </colBreaks>
  <drawing r:id="rId4"/>
  <legacyDrawing r:id="rId5"/>
  <mc:AlternateContent xmlns:mc="http://schemas.openxmlformats.org/markup-compatibility/2006">
    <mc:Choice Requires="x14">
      <controls>
        <mc:AlternateContent xmlns:mc="http://schemas.openxmlformats.org/markup-compatibility/2006">
          <mc:Choice Requires="x14">
            <control shapeId="99333" r:id="rId6" name="Button 5">
              <controlPr defaultSize="0" print="0" autoFill="0" autoPict="0" macro="[0]!InvoiceTextBoxButtons_PaidFull">
                <anchor moveWithCells="1" sizeWithCells="1">
                  <from>
                    <xdr:col>5</xdr:col>
                    <xdr:colOff>0</xdr:colOff>
                    <xdr:row>56</xdr:row>
                    <xdr:rowOff>25400</xdr:rowOff>
                  </from>
                  <to>
                    <xdr:col>8</xdr:col>
                    <xdr:colOff>63500</xdr:colOff>
                    <xdr:row>56</xdr:row>
                    <xdr:rowOff>177800</xdr:rowOff>
                  </to>
                </anchor>
              </controlPr>
            </control>
          </mc:Choice>
        </mc:AlternateContent>
        <mc:AlternateContent xmlns:mc="http://schemas.openxmlformats.org/markup-compatibility/2006">
          <mc:Choice Requires="x14">
            <control shapeId="99342" r:id="rId7" name="CheckboxSoftwareHardware">
              <controlPr defaultSize="0" autoFill="0" autoLine="0" autoPict="0" macro="[0]!Inv_CheckboxSoftwareHardware_Click" altText="Detailed Prices">
                <anchor moveWithCells="1">
                  <from>
                    <xdr:col>7</xdr:col>
                    <xdr:colOff>25400</xdr:colOff>
                    <xdr:row>6</xdr:row>
                    <xdr:rowOff>25400</xdr:rowOff>
                  </from>
                  <to>
                    <xdr:col>8</xdr:col>
                    <xdr:colOff>127000</xdr:colOff>
                    <xdr:row>7</xdr:row>
                    <xdr:rowOff>25400</xdr:rowOff>
                  </to>
                </anchor>
              </controlPr>
            </control>
          </mc:Choice>
        </mc:AlternateContent>
        <mc:AlternateContent xmlns:mc="http://schemas.openxmlformats.org/markup-compatibility/2006">
          <mc:Choice Requires="x14">
            <control shapeId="99344" r:id="rId8" name="CheckBoxInternetDownload">
              <controlPr defaultSize="0" autoFill="0" autoLine="0" autoPict="0" macro="[0]!Inv_CheckBoxInternetDownload_Click" altText="Detailed Prices">
                <anchor moveWithCells="1">
                  <from>
                    <xdr:col>9</xdr:col>
                    <xdr:colOff>787400</xdr:colOff>
                    <xdr:row>6</xdr:row>
                    <xdr:rowOff>25400</xdr:rowOff>
                  </from>
                  <to>
                    <xdr:col>10</xdr:col>
                    <xdr:colOff>127000</xdr:colOff>
                    <xdr:row>7</xdr:row>
                    <xdr:rowOff>25400</xdr:rowOff>
                  </to>
                </anchor>
              </controlPr>
            </control>
          </mc:Choice>
        </mc:AlternateContent>
        <mc:AlternateContent xmlns:mc="http://schemas.openxmlformats.org/markup-compatibility/2006">
          <mc:Choice Requires="x14">
            <control shapeId="99370" r:id="rId9" name="$ Avance">
              <controlPr defaultSize="0" print="0" autoFill="0" autoPict="0" macro="[0]!InvoiceTextBoxButtons_AdvancePayment">
                <anchor moveWithCells="1" sizeWithCells="1">
                  <from>
                    <xdr:col>1</xdr:col>
                    <xdr:colOff>101600</xdr:colOff>
                    <xdr:row>56</xdr:row>
                    <xdr:rowOff>25400</xdr:rowOff>
                  </from>
                  <to>
                    <xdr:col>4</xdr:col>
                    <xdr:colOff>393700</xdr:colOff>
                    <xdr:row>56</xdr:row>
                    <xdr:rowOff>177800</xdr:rowOff>
                  </to>
                </anchor>
              </controlPr>
            </control>
          </mc:Choice>
        </mc:AlternateContent>
        <mc:AlternateContent xmlns:mc="http://schemas.openxmlformats.org/markup-compatibility/2006">
          <mc:Choice Requires="x14">
            <control shapeId="99343" r:id="rId10" name="CheckboxFilledByCustomer">
              <controlPr defaultSize="0" autoFill="0" autoLine="0" autoPict="0" altText="Detailed Prices">
                <anchor moveWithCells="1">
                  <from>
                    <xdr:col>9</xdr:col>
                    <xdr:colOff>787400</xdr:colOff>
                    <xdr:row>5</xdr:row>
                    <xdr:rowOff>25400</xdr:rowOff>
                  </from>
                  <to>
                    <xdr:col>10</xdr:col>
                    <xdr:colOff>127000</xdr:colOff>
                    <xdr:row>6</xdr:row>
                    <xdr:rowOff>25400</xdr:rowOff>
                  </to>
                </anchor>
              </controlPr>
            </control>
          </mc:Choice>
        </mc:AlternateContent>
        <mc:AlternateContent xmlns:mc="http://schemas.openxmlformats.org/markup-compatibility/2006">
          <mc:Choice Requires="x14">
            <control shapeId="773940" r:id="rId11" name="Button 2868">
              <controlPr defaultSize="0" print="0" autoFill="0" autoPict="0" macro="[0]!InvoiceTextBoxButtons_Tariffs">
                <anchor moveWithCells="1" sizeWithCells="1">
                  <from>
                    <xdr:col>11</xdr:col>
                    <xdr:colOff>63500</xdr:colOff>
                    <xdr:row>56</xdr:row>
                    <xdr:rowOff>25400</xdr:rowOff>
                  </from>
                  <to>
                    <xdr:col>13</xdr:col>
                    <xdr:colOff>215900</xdr:colOff>
                    <xdr:row>56</xdr:row>
                    <xdr:rowOff>177800</xdr:rowOff>
                  </to>
                </anchor>
              </controlPr>
            </control>
          </mc:Choice>
        </mc:AlternateContent>
        <mc:AlternateContent xmlns:mc="http://schemas.openxmlformats.org/markup-compatibility/2006">
          <mc:Choice Requires="x14">
            <control shapeId="774092" r:id="rId12" name="Button 3020">
              <controlPr defaultSize="0" print="0" autoFill="0" autoPict="0" macro="[0]!InvoiceTextBoxButtons_Shipped">
                <anchor moveWithCells="1" sizeWithCells="1">
                  <from>
                    <xdr:col>8</xdr:col>
                    <xdr:colOff>203200</xdr:colOff>
                    <xdr:row>56</xdr:row>
                    <xdr:rowOff>25400</xdr:rowOff>
                  </from>
                  <to>
                    <xdr:col>10</xdr:col>
                    <xdr:colOff>177800</xdr:colOff>
                    <xdr:row>56</xdr:row>
                    <xdr:rowOff>177800</xdr:rowOff>
                  </to>
                </anchor>
              </controlPr>
            </control>
          </mc:Choice>
        </mc:AlternateContent>
        <mc:AlternateContent xmlns:mc="http://schemas.openxmlformats.org/markup-compatibility/2006">
          <mc:Choice Requires="x14">
            <control shapeId="901666" r:id="rId13" name="Button 3618">
              <controlPr defaultSize="0" print="0" autoFill="0" autoPict="0" macro="[0]!InvoiceTextBoxButtons_PaidFull">
                <anchor moveWithCells="1" sizeWithCells="1">
                  <from>
                    <xdr:col>25</xdr:col>
                    <xdr:colOff>0</xdr:colOff>
                    <xdr:row>56</xdr:row>
                    <xdr:rowOff>25400</xdr:rowOff>
                  </from>
                  <to>
                    <xdr:col>28</xdr:col>
                    <xdr:colOff>63500</xdr:colOff>
                    <xdr:row>56</xdr:row>
                    <xdr:rowOff>177800</xdr:rowOff>
                  </to>
                </anchor>
              </controlPr>
            </control>
          </mc:Choice>
        </mc:AlternateContent>
        <mc:AlternateContent xmlns:mc="http://schemas.openxmlformats.org/markup-compatibility/2006">
          <mc:Choice Requires="x14">
            <control shapeId="901667" r:id="rId14" name="Button 3619">
              <controlPr defaultSize="0" print="0" autoFill="0" autoPict="0" macro="[0]!InvoiceTextBoxButtons_Shipped">
                <anchor moveWithCells="1" sizeWithCells="1">
                  <from>
                    <xdr:col>28</xdr:col>
                    <xdr:colOff>203200</xdr:colOff>
                    <xdr:row>56</xdr:row>
                    <xdr:rowOff>25400</xdr:rowOff>
                  </from>
                  <to>
                    <xdr:col>30</xdr:col>
                    <xdr:colOff>177800</xdr:colOff>
                    <xdr:row>56</xdr:row>
                    <xdr:rowOff>177800</xdr:rowOff>
                  </to>
                </anchor>
              </controlPr>
            </control>
          </mc:Choice>
        </mc:AlternateContent>
        <mc:AlternateContent xmlns:mc="http://schemas.openxmlformats.org/markup-compatibility/2006">
          <mc:Choice Requires="x14">
            <control shapeId="1139826" r:id="rId15" name="Button 6258">
              <controlPr defaultSize="0" print="0" autoFill="0" autoPict="0" macro="[0]!InvoiceTextBoxButtons_Annulee">
                <anchor moveWithCells="1" sizeWithCells="1">
                  <from>
                    <xdr:col>1</xdr:col>
                    <xdr:colOff>101600</xdr:colOff>
                    <xdr:row>56</xdr:row>
                    <xdr:rowOff>25400</xdr:rowOff>
                  </from>
                  <to>
                    <xdr:col>4</xdr:col>
                    <xdr:colOff>393700</xdr:colOff>
                    <xdr:row>56</xdr:row>
                    <xdr:rowOff>177800</xdr:rowOff>
                  </to>
                </anchor>
              </controlPr>
            </control>
          </mc:Choice>
        </mc:AlternateContent>
        <mc:AlternateContent xmlns:mc="http://schemas.openxmlformats.org/markup-compatibility/2006">
          <mc:Choice Requires="x14">
            <control shapeId="1139865" r:id="rId16" name="Button 6297">
              <controlPr defaultSize="0" print="0" autoFill="0" autoPict="0" macro="[0]!InvoiceTextBoxButtons_Boites">
                <anchor moveWithCells="1" sizeWithCells="1">
                  <from>
                    <xdr:col>13</xdr:col>
                    <xdr:colOff>50800</xdr:colOff>
                    <xdr:row>18</xdr:row>
                    <xdr:rowOff>139700</xdr:rowOff>
                  </from>
                  <to>
                    <xdr:col>16</xdr:col>
                    <xdr:colOff>139700</xdr:colOff>
                    <xdr:row>20</xdr:row>
                    <xdr:rowOff>25400</xdr:rowOff>
                  </to>
                </anchor>
              </controlPr>
            </control>
          </mc:Choice>
        </mc:AlternateContent>
        <mc:AlternateContent xmlns:mc="http://schemas.openxmlformats.org/markup-compatibility/2006">
          <mc:Choice Requires="x14">
            <control shapeId="1140338" r:id="rId17" name="CheckboxTariff2">
              <controlPr defaultSize="0" print="0" autoFill="0" autoLine="0" autoPict="0" altText="Detailed Prices">
                <anchor moveWithCells="1">
                  <from>
                    <xdr:col>11</xdr:col>
                    <xdr:colOff>177800</xdr:colOff>
                    <xdr:row>56</xdr:row>
                    <xdr:rowOff>177800</xdr:rowOff>
                  </from>
                  <to>
                    <xdr:col>13</xdr:col>
                    <xdr:colOff>139700</xdr:colOff>
                    <xdr:row>58</xdr:row>
                    <xdr:rowOff>12700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3" id="{55BCC987-C41D-468E-8AD7-FB443FD91458}">
            <xm:f>IF(OR(E24=QCalc!$I$159,E24=QCalc!$I$160),1,0)</xm:f>
            <x14:dxf>
              <font>
                <color rgb="FFC00000"/>
              </font>
            </x14:dxf>
          </x14:cfRule>
          <xm:sqref>E24:N54</xm:sqref>
        </x14:conditionalFormatting>
        <x14:conditionalFormatting xmlns:xm="http://schemas.microsoft.com/office/excel/2006/main">
          <x14:cfRule type="expression" priority="1" id="{4821D825-7D25-4F04-A3BC-D82B279206DB}">
            <xm:f>IF(E24=QCalc!$I$158,1,0)</xm:f>
            <x14:dxf>
              <font>
                <b/>
                <i val="0"/>
                <color rgb="FFC00000"/>
              </font>
            </x14:dxf>
          </x14:cfRule>
          <xm:sqref>E24:N54 X24:AG54</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D0E7C-D977-4701-BDBA-F9A3A15EE211}">
  <sheetPr codeName="Sheet23">
    <tabColor theme="1" tint="0.34998626667073579"/>
  </sheetPr>
  <dimension ref="A1:AR117"/>
  <sheetViews>
    <sheetView showGridLines="0" zoomScaleNormal="100" workbookViewId="0">
      <selection activeCell="Q1" sqref="Q1:R1"/>
    </sheetView>
  </sheetViews>
  <sheetFormatPr baseColWidth="10" defaultColWidth="8.6640625" defaultRowHeight="16" x14ac:dyDescent="0.2"/>
  <cols>
    <col min="1" max="1" width="0.6640625" style="46" customWidth="1"/>
    <col min="2" max="4" width="3.5" style="46" customWidth="1"/>
    <col min="5" max="5" width="6.6640625" style="46" customWidth="1"/>
    <col min="6" max="6" width="3.5" style="46" customWidth="1"/>
    <col min="7" max="7" width="8.6640625" style="46" customWidth="1"/>
    <col min="8" max="8" width="1.1640625" style="46" customWidth="1"/>
    <col min="9" max="9" width="3.5" style="46" customWidth="1"/>
    <col min="10" max="10" width="11.1640625" style="46" customWidth="1"/>
    <col min="11" max="11" width="3.5" style="46" customWidth="1"/>
    <col min="12" max="12" width="11.1640625" style="46" customWidth="1"/>
    <col min="13" max="13" width="1.1640625" style="46" customWidth="1"/>
    <col min="14" max="14" width="7.6640625" style="46" customWidth="1"/>
    <col min="15" max="15" width="2.6640625" style="46" customWidth="1"/>
    <col min="16" max="16" width="5.1640625" style="46" customWidth="1"/>
    <col min="17" max="17" width="7.5" style="46" customWidth="1"/>
    <col min="18" max="18" width="9.5" style="46" customWidth="1"/>
    <col min="19" max="20" width="0.6640625" customWidth="1"/>
    <col min="21" max="23" width="3.5" customWidth="1"/>
    <col min="24" max="24" width="6.6640625" customWidth="1"/>
    <col min="25" max="25" width="3.5" customWidth="1"/>
    <col min="26" max="26" width="8.6640625" customWidth="1"/>
    <col min="27" max="27" width="1.1640625" customWidth="1"/>
    <col min="28" max="28" width="3.5" customWidth="1"/>
    <col min="29" max="29" width="11.1640625" customWidth="1"/>
    <col min="30" max="30" width="3.5" customWidth="1"/>
    <col min="31" max="31" width="11.1640625" customWidth="1"/>
    <col min="32" max="32" width="1.1640625" customWidth="1"/>
    <col min="33" max="33" width="7.6640625" customWidth="1"/>
    <col min="34" max="34" width="2.6640625" customWidth="1"/>
    <col min="35" max="35" width="5.1640625" customWidth="1"/>
    <col min="36" max="36" width="7.5" customWidth="1"/>
    <col min="37" max="37" width="9.5" customWidth="1"/>
    <col min="38" max="38" width="0.6640625" customWidth="1"/>
  </cols>
  <sheetData>
    <row r="1" spans="1:44" ht="20" x14ac:dyDescent="0.2">
      <c r="N1" s="48"/>
      <c r="P1" s="81" t="str">
        <f>IF(Francais,"FACTURE COMMERCIALE#","COMMERCIAL INVOICE #")</f>
        <v>FACTURE COMMERCIALE#</v>
      </c>
      <c r="Q1" s="868" t="str">
        <f>IF(ISBLANK(Inv!Q1),"",Inv!Q1)</f>
        <v/>
      </c>
      <c r="R1" s="868"/>
      <c r="T1" s="46"/>
      <c r="U1" s="46"/>
      <c r="V1" s="46"/>
      <c r="W1" s="46"/>
      <c r="X1" s="46"/>
      <c r="Y1" s="46"/>
      <c r="Z1" s="46"/>
      <c r="AA1" s="46"/>
      <c r="AB1" s="46"/>
      <c r="AC1" s="46"/>
      <c r="AD1" s="46"/>
      <c r="AE1" s="46"/>
      <c r="AF1" s="46"/>
      <c r="AG1" s="48"/>
      <c r="AH1" s="46"/>
      <c r="AI1" s="81" t="str">
        <f>P1</f>
        <v>FACTURE COMMERCIALE#</v>
      </c>
      <c r="AJ1" s="869" t="str">
        <f>Q1</f>
        <v/>
      </c>
      <c r="AK1" s="866"/>
    </row>
    <row r="2" spans="1:44" ht="12" customHeight="1" x14ac:dyDescent="0.2">
      <c r="M2" s="821" t="s">
        <v>16</v>
      </c>
      <c r="N2" s="821"/>
      <c r="O2" s="821"/>
      <c r="P2" s="821"/>
      <c r="Q2" s="856" t="str">
        <f>INV_Date</f>
        <v>4/7/2026</v>
      </c>
      <c r="R2" s="856"/>
      <c r="T2" s="46"/>
      <c r="U2" s="46"/>
      <c r="V2" s="46"/>
      <c r="W2" s="46"/>
      <c r="X2" s="46"/>
      <c r="Y2" s="46"/>
      <c r="Z2" s="46"/>
      <c r="AA2" s="46"/>
      <c r="AB2" s="46"/>
      <c r="AC2" s="46"/>
      <c r="AD2" s="46"/>
      <c r="AE2" s="46"/>
      <c r="AF2" s="821" t="str">
        <f>M2</f>
        <v>Date</v>
      </c>
      <c r="AG2" s="821"/>
      <c r="AH2" s="821"/>
      <c r="AI2" s="821"/>
      <c r="AJ2" s="856" t="str">
        <f>Q2</f>
        <v>4/7/2026</v>
      </c>
      <c r="AK2" s="856"/>
    </row>
    <row r="3" spans="1:44" ht="12" customHeight="1" x14ac:dyDescent="0.2">
      <c r="B3" s="53"/>
      <c r="C3" s="53"/>
      <c r="D3" s="53"/>
      <c r="J3" s="342" t="str">
        <f>IF(Distributeurs_Rabais*0,IF(Francais,"Prix","Distributor"),"")</f>
        <v/>
      </c>
      <c r="M3" s="821" t="str">
        <f>IF(Francais,"# Suivi","Tracking #")</f>
        <v># Suivi</v>
      </c>
      <c r="N3" s="821"/>
      <c r="O3" s="821"/>
      <c r="P3" s="821"/>
      <c r="Q3" s="870"/>
      <c r="R3" s="870"/>
      <c r="T3" s="46"/>
      <c r="U3" s="53"/>
      <c r="V3" s="53"/>
      <c r="W3" s="53"/>
      <c r="X3" s="46"/>
      <c r="Y3" s="46"/>
      <c r="Z3" s="46"/>
      <c r="AA3" s="46"/>
      <c r="AB3" s="46"/>
      <c r="AC3" s="342" t="str">
        <f>IF(Distributeurs_Rabais*0,IF(Francais,"Prix","Distributor"),"")</f>
        <v/>
      </c>
      <c r="AD3" s="46"/>
      <c r="AE3" s="46"/>
      <c r="AF3" s="821" t="str">
        <f>M3</f>
        <v># Suivi</v>
      </c>
      <c r="AG3" s="821"/>
      <c r="AH3" s="821"/>
      <c r="AI3" s="821"/>
      <c r="AJ3" s="858" t="str">
        <f>IF(ISBLANK(Q3),"",Q3)</f>
        <v/>
      </c>
      <c r="AK3" s="858"/>
    </row>
    <row r="4" spans="1:44" ht="12" customHeight="1" x14ac:dyDescent="0.2">
      <c r="B4" s="54"/>
      <c r="C4" s="54"/>
      <c r="D4" s="54"/>
      <c r="J4" s="342" t="str">
        <f>IF(Distributeurs_Rabais*0,IF(Francais,"Distributeur","Prices"),"")</f>
        <v/>
      </c>
      <c r="M4" s="821" t="str">
        <f>IF(Francais,"Terme","Payment Terms")</f>
        <v>Terme</v>
      </c>
      <c r="N4" s="821"/>
      <c r="O4" s="821"/>
      <c r="P4" s="821"/>
      <c r="Q4" s="859" t="str">
        <f>Quote!P4</f>
        <v>Payable d'avance</v>
      </c>
      <c r="R4" s="859"/>
      <c r="T4" s="46"/>
      <c r="U4" s="54"/>
      <c r="V4" s="54"/>
      <c r="W4" s="54"/>
      <c r="X4" s="46"/>
      <c r="Y4" s="46"/>
      <c r="Z4" s="46"/>
      <c r="AA4" s="46"/>
      <c r="AB4" s="46"/>
      <c r="AC4" s="342" t="str">
        <f>IF(Distributeurs_Rabais*0,IF(Francais,"Distributeur","Prices"),"")</f>
        <v/>
      </c>
      <c r="AD4" s="46"/>
      <c r="AE4" s="46"/>
      <c r="AF4" s="821" t="str">
        <f>M4</f>
        <v>Terme</v>
      </c>
      <c r="AG4" s="821"/>
      <c r="AH4" s="821"/>
      <c r="AI4" s="821"/>
      <c r="AJ4" s="855" t="str">
        <f>Q4</f>
        <v>Payable d'avance</v>
      </c>
      <c r="AK4" s="855"/>
    </row>
    <row r="5" spans="1:44" ht="12" customHeight="1" x14ac:dyDescent="0.2">
      <c r="B5" s="54"/>
      <c r="C5" s="54"/>
      <c r="D5" s="54"/>
      <c r="I5"/>
      <c r="J5"/>
      <c r="K5"/>
      <c r="L5"/>
      <c r="M5" s="821" t="str">
        <f>IF(Francais,"# Client","Customer #")</f>
        <v># Client</v>
      </c>
      <c r="N5" s="821"/>
      <c r="O5" s="821"/>
      <c r="P5" s="821"/>
      <c r="Q5" s="857" t="str">
        <f>IF(ISBLANK(Quote!P5),"",Quote!P5)</f>
        <v/>
      </c>
      <c r="R5" s="857"/>
      <c r="T5" s="46"/>
      <c r="U5" s="54"/>
      <c r="V5" s="54"/>
      <c r="W5" s="54"/>
      <c r="X5" s="46"/>
      <c r="Y5" s="46"/>
      <c r="Z5" s="46"/>
      <c r="AA5" s="46"/>
      <c r="AB5" s="46"/>
      <c r="AD5" s="46"/>
      <c r="AE5" s="46"/>
      <c r="AF5" s="821" t="str">
        <f>M5</f>
        <v># Client</v>
      </c>
      <c r="AG5" s="821"/>
      <c r="AH5" s="821"/>
      <c r="AI5" s="821"/>
      <c r="AJ5" s="858" t="str">
        <f>IF(ISBLANK(Q5),"",Q5)</f>
        <v/>
      </c>
      <c r="AK5" s="858"/>
    </row>
    <row r="6" spans="1:44" ht="12" customHeight="1" x14ac:dyDescent="0.2">
      <c r="I6"/>
      <c r="J6"/>
      <c r="K6"/>
      <c r="L6"/>
      <c r="M6" s="821" t="str">
        <f>IF(Francais,"# PO","PO #")</f>
        <v># PO</v>
      </c>
      <c r="N6" s="821"/>
      <c r="O6" s="821"/>
      <c r="P6" s="821"/>
      <c r="Q6" s="857" t="str">
        <f>IF(ISBLANK(Inv!Q6),"",Inv!Q6)</f>
        <v/>
      </c>
      <c r="R6" s="857"/>
      <c r="T6" s="46"/>
      <c r="U6" s="46"/>
      <c r="V6" s="46"/>
      <c r="W6" s="46"/>
      <c r="X6" s="46"/>
      <c r="Y6" s="46"/>
      <c r="Z6" s="46"/>
      <c r="AA6" s="46"/>
      <c r="AB6" s="46"/>
      <c r="AC6" s="46"/>
      <c r="AD6" s="46"/>
      <c r="AE6" s="46"/>
      <c r="AF6" s="821" t="str">
        <f>IF(Francais,"# PO","PO #")</f>
        <v># PO</v>
      </c>
      <c r="AG6" s="821"/>
      <c r="AH6" s="821"/>
      <c r="AI6" s="821"/>
      <c r="AJ6" s="858" t="str">
        <f>IF(ISBLANK(Q6),"",Q6)</f>
        <v/>
      </c>
      <c r="AK6" s="858"/>
    </row>
    <row r="7" spans="1:44" ht="12" customHeight="1" x14ac:dyDescent="0.2">
      <c r="B7" s="55"/>
      <c r="C7" s="55"/>
      <c r="D7" s="55"/>
      <c r="I7"/>
      <c r="J7"/>
      <c r="K7"/>
      <c r="L7"/>
      <c r="M7" s="821" t="str">
        <f>IF(Francais,"Courriel Utilisateur:","End User Email:")</f>
        <v>Courriel Utilisateur:</v>
      </c>
      <c r="N7" s="821"/>
      <c r="O7" s="821"/>
      <c r="P7" s="834" t="str">
        <f>IF(ISBLANK(Home!$B$28),"",Home!$B$28)</f>
        <v/>
      </c>
      <c r="Q7" s="834"/>
      <c r="R7" s="834"/>
      <c r="T7" s="46"/>
      <c r="U7" s="55"/>
      <c r="V7" s="55"/>
      <c r="W7" s="55"/>
      <c r="X7" s="46"/>
      <c r="Y7" s="46"/>
      <c r="Z7" s="46"/>
      <c r="AA7" s="46"/>
      <c r="AB7" s="46"/>
      <c r="AC7" s="46"/>
      <c r="AD7" s="46"/>
      <c r="AE7" s="46"/>
      <c r="AF7" s="821" t="str">
        <f>IF(Francais,"Courriel Utilisateur:","End User Email:")</f>
        <v>Courriel Utilisateur:</v>
      </c>
      <c r="AG7" s="821"/>
      <c r="AH7" s="821"/>
      <c r="AI7" s="834" t="str">
        <f>IF(ISBLANK(P7),"",P7)</f>
        <v/>
      </c>
      <c r="AJ7" s="834"/>
      <c r="AK7" s="834"/>
    </row>
    <row r="8" spans="1:44" ht="3.5" customHeight="1" x14ac:dyDescent="0.2">
      <c r="T8" s="46"/>
      <c r="U8" s="46"/>
      <c r="V8" s="46"/>
      <c r="W8" s="46"/>
      <c r="X8" s="46"/>
      <c r="Y8" s="46"/>
      <c r="Z8" s="46"/>
      <c r="AA8" s="46"/>
      <c r="AB8" s="46"/>
      <c r="AC8" s="46"/>
      <c r="AD8" s="46"/>
      <c r="AE8" s="46"/>
      <c r="AF8" s="46"/>
      <c r="AG8" s="46"/>
      <c r="AH8" s="46"/>
      <c r="AI8" s="46"/>
      <c r="AJ8" s="46"/>
      <c r="AK8" s="46"/>
    </row>
    <row r="9" spans="1:44" s="3" customFormat="1" ht="3.5" customHeight="1" x14ac:dyDescent="0.15">
      <c r="A9" s="56"/>
      <c r="B9" s="828" t="str">
        <f>IF(Francais," FACTURATION:"," BILL TO:")</f>
        <v xml:space="preserve"> FACTURATION:</v>
      </c>
      <c r="C9" s="828"/>
      <c r="D9" s="828"/>
      <c r="E9" s="828"/>
      <c r="F9" s="828"/>
      <c r="G9" s="828"/>
      <c r="H9" s="122"/>
      <c r="I9" s="828" t="str">
        <f>IF(Francais," LIVRAISON:"," SHIP TO:")</f>
        <v xml:space="preserve"> LIVRAISON:</v>
      </c>
      <c r="J9" s="828"/>
      <c r="K9" s="828"/>
      <c r="L9" s="828"/>
      <c r="M9" s="116"/>
      <c r="N9" s="828" t="str">
        <f>IF(Francais," DÉTAILS D'EXPÉDITION:"," SHIPPING DETAILS:")</f>
        <v xml:space="preserve"> DÉTAILS D'EXPÉDITION:</v>
      </c>
      <c r="O9" s="828"/>
      <c r="P9" s="828"/>
      <c r="Q9" s="828"/>
      <c r="R9" s="828"/>
      <c r="T9" s="56"/>
      <c r="U9" s="828" t="str">
        <f>B9</f>
        <v xml:space="preserve"> FACTURATION:</v>
      </c>
      <c r="V9" s="828"/>
      <c r="W9" s="828"/>
      <c r="X9" s="828"/>
      <c r="Y9" s="828"/>
      <c r="Z9" s="828"/>
      <c r="AA9" s="122"/>
      <c r="AB9" s="828" t="str">
        <f>I9</f>
        <v xml:space="preserve"> LIVRAISON:</v>
      </c>
      <c r="AC9" s="828"/>
      <c r="AD9" s="828"/>
      <c r="AE9" s="828"/>
      <c r="AF9" s="116"/>
      <c r="AG9" s="828" t="str">
        <f>N9</f>
        <v xml:space="preserve"> DÉTAILS D'EXPÉDITION:</v>
      </c>
      <c r="AH9" s="828"/>
      <c r="AI9" s="828"/>
      <c r="AJ9" s="828"/>
      <c r="AK9" s="828"/>
    </row>
    <row r="10" spans="1:44" s="3" customFormat="1" x14ac:dyDescent="0.15">
      <c r="A10" s="56"/>
      <c r="B10" s="828"/>
      <c r="C10" s="828"/>
      <c r="D10" s="828"/>
      <c r="E10" s="828"/>
      <c r="F10" s="828"/>
      <c r="G10" s="828"/>
      <c r="H10" s="122"/>
      <c r="I10" s="828"/>
      <c r="J10" s="828"/>
      <c r="K10" s="828"/>
      <c r="L10" s="828"/>
      <c r="M10" s="116"/>
      <c r="N10" s="828"/>
      <c r="O10" s="828"/>
      <c r="P10" s="828"/>
      <c r="Q10" s="828"/>
      <c r="R10" s="828"/>
      <c r="T10" s="56"/>
      <c r="U10" s="828"/>
      <c r="V10" s="828"/>
      <c r="W10" s="828"/>
      <c r="X10" s="828"/>
      <c r="Y10" s="828"/>
      <c r="Z10" s="828"/>
      <c r="AA10" s="122"/>
      <c r="AB10" s="828"/>
      <c r="AC10" s="828"/>
      <c r="AD10" s="828"/>
      <c r="AE10" s="828"/>
      <c r="AF10" s="116"/>
      <c r="AG10" s="828"/>
      <c r="AH10" s="828"/>
      <c r="AI10" s="828"/>
      <c r="AJ10" s="828"/>
      <c r="AK10" s="828"/>
    </row>
    <row r="11" spans="1:44" s="3" customFormat="1" ht="3.5" customHeight="1" x14ac:dyDescent="0.15">
      <c r="A11" s="56"/>
      <c r="B11" s="117"/>
      <c r="C11" s="117"/>
      <c r="D11" s="117"/>
      <c r="E11" s="118"/>
      <c r="F11" s="118"/>
      <c r="G11" s="118"/>
      <c r="H11" s="122"/>
      <c r="I11" s="117"/>
      <c r="J11" s="116"/>
      <c r="K11" s="116"/>
      <c r="L11" s="116"/>
      <c r="M11" s="116"/>
      <c r="N11" s="117"/>
      <c r="O11" s="118"/>
      <c r="P11" s="118"/>
      <c r="Q11" s="116"/>
      <c r="R11" s="116"/>
      <c r="T11" s="56"/>
      <c r="U11" s="117"/>
      <c r="V11" s="117"/>
      <c r="W11" s="117"/>
      <c r="X11" s="118"/>
      <c r="Y11" s="118"/>
      <c r="Z11" s="118"/>
      <c r="AA11" s="122"/>
      <c r="AB11" s="117"/>
      <c r="AC11" s="116"/>
      <c r="AD11" s="116"/>
      <c r="AE11" s="116"/>
      <c r="AF11" s="116"/>
      <c r="AG11" s="117"/>
      <c r="AH11" s="118"/>
      <c r="AI11" s="118"/>
      <c r="AJ11" s="116"/>
      <c r="AK11" s="116"/>
    </row>
    <row r="12" spans="1:44" ht="11.25" customHeight="1" x14ac:dyDescent="0.2">
      <c r="B12" s="826" t="str">
        <f>IF(ISBLANK(Inv!B12),"",Inv!B12)</f>
        <v/>
      </c>
      <c r="C12" s="826"/>
      <c r="D12" s="826"/>
      <c r="E12" s="826"/>
      <c r="F12" s="826"/>
      <c r="G12" s="826"/>
      <c r="H12" s="122"/>
      <c r="I12" s="826" t="str">
        <f>IF(ISBLANK(Inv!I12),"",Inv!I12)</f>
        <v/>
      </c>
      <c r="J12" s="826"/>
      <c r="K12" s="826"/>
      <c r="L12" s="826"/>
      <c r="M12" s="119"/>
      <c r="N12" s="826" t="str">
        <f>IF(Francais,"Transporteur","Ship via")</f>
        <v>Transporteur</v>
      </c>
      <c r="O12" s="826"/>
      <c r="P12" s="826"/>
      <c r="Q12" s="826" t="str">
        <f>IF(ISBLANK(Inv!Q12),"",Inv!Q12)</f>
        <v>Fedex</v>
      </c>
      <c r="R12" s="826"/>
      <c r="T12" s="46"/>
      <c r="U12" s="826" t="str">
        <f t="shared" ref="U12:U17" si="0">B12</f>
        <v/>
      </c>
      <c r="V12" s="826"/>
      <c r="W12" s="826"/>
      <c r="X12" s="826"/>
      <c r="Y12" s="826"/>
      <c r="Z12" s="826"/>
      <c r="AA12" s="122"/>
      <c r="AB12" s="826" t="str">
        <f t="shared" ref="AB12:AB17" si="1">I12</f>
        <v/>
      </c>
      <c r="AC12" s="826"/>
      <c r="AD12" s="826"/>
      <c r="AE12" s="826"/>
      <c r="AF12" s="119"/>
      <c r="AG12" s="826" t="str">
        <f t="shared" ref="AG12:AG13" si="2">N12</f>
        <v>Transporteur</v>
      </c>
      <c r="AH12" s="826"/>
      <c r="AI12" s="826"/>
      <c r="AJ12" s="826" t="str">
        <f>IF(ISBLANK(Inv!AJ12),"",Inv!AJ12)</f>
        <v>Fedex</v>
      </c>
      <c r="AK12" s="826"/>
    </row>
    <row r="13" spans="1:44" ht="11.25" customHeight="1" x14ac:dyDescent="0.2">
      <c r="B13" s="826" t="str">
        <f>IF(ISBLANK(Inv!B13),"",Inv!B13)</f>
        <v/>
      </c>
      <c r="C13" s="826"/>
      <c r="D13" s="826"/>
      <c r="E13" s="826"/>
      <c r="F13" s="826"/>
      <c r="G13" s="826"/>
      <c r="H13" s="122"/>
      <c r="I13" s="826" t="str">
        <f>IF(ISBLANK(Inv!I13),"",Inv!I13)</f>
        <v/>
      </c>
      <c r="J13" s="826"/>
      <c r="K13" s="826"/>
      <c r="L13" s="826"/>
      <c r="M13" s="119"/>
      <c r="N13" s="826" t="s">
        <v>17</v>
      </c>
      <c r="O13" s="826"/>
      <c r="P13" s="826"/>
      <c r="Q13" s="826" t="str">
        <f>IF(ISBLANK(Inv!Q13),"",Inv!Q13)</f>
        <v>DAP</v>
      </c>
      <c r="R13" s="826"/>
      <c r="T13" s="46"/>
      <c r="U13" s="826" t="str">
        <f t="shared" si="0"/>
        <v/>
      </c>
      <c r="V13" s="826"/>
      <c r="W13" s="826"/>
      <c r="X13" s="826"/>
      <c r="Y13" s="826"/>
      <c r="Z13" s="826"/>
      <c r="AA13" s="122"/>
      <c r="AB13" s="826" t="str">
        <f t="shared" si="1"/>
        <v/>
      </c>
      <c r="AC13" s="826"/>
      <c r="AD13" s="826"/>
      <c r="AE13" s="826"/>
      <c r="AF13" s="119"/>
      <c r="AG13" s="826" t="str">
        <f t="shared" si="2"/>
        <v>Incoterms</v>
      </c>
      <c r="AH13" s="826"/>
      <c r="AI13" s="826"/>
      <c r="AJ13" s="826" t="str">
        <f>IF(ISBLANK(Inv!AJ13),"",Inv!AJ13)</f>
        <v>DAP</v>
      </c>
      <c r="AK13" s="826"/>
    </row>
    <row r="14" spans="1:44" ht="11.25" customHeight="1" x14ac:dyDescent="0.2">
      <c r="B14" s="826" t="str">
        <f>IF(ISBLANK(Inv!B14),"",Inv!B14)</f>
        <v/>
      </c>
      <c r="C14" s="826"/>
      <c r="D14" s="826"/>
      <c r="E14" s="826"/>
      <c r="F14" s="826"/>
      <c r="G14" s="826"/>
      <c r="H14" s="122"/>
      <c r="I14" s="826" t="str">
        <f>IF(ISBLANK(Inv!I14),"",Inv!I14)</f>
        <v/>
      </c>
      <c r="J14" s="826"/>
      <c r="K14" s="826"/>
      <c r="L14" s="826"/>
      <c r="M14" s="119"/>
      <c r="N14" s="826" t="str">
        <f>IF(Francais,"Nombre de colis","Total Package(s)")</f>
        <v>Nombre de colis</v>
      </c>
      <c r="O14" s="826"/>
      <c r="P14" s="826"/>
      <c r="Q14" s="826">
        <f>IF(ISBLANK(Inv!Q14),"",Inv!Q14)</f>
        <v>0</v>
      </c>
      <c r="R14" s="826"/>
      <c r="T14" s="46"/>
      <c r="U14" s="826" t="str">
        <f t="shared" si="0"/>
        <v/>
      </c>
      <c r="V14" s="826"/>
      <c r="W14" s="826"/>
      <c r="X14" s="826"/>
      <c r="Y14" s="826"/>
      <c r="Z14" s="826"/>
      <c r="AA14" s="122"/>
      <c r="AB14" s="826" t="str">
        <f t="shared" si="1"/>
        <v/>
      </c>
      <c r="AC14" s="826"/>
      <c r="AD14" s="826"/>
      <c r="AE14" s="826"/>
      <c r="AF14" s="119"/>
      <c r="AG14" s="826" t="str">
        <f>N14</f>
        <v>Nombre de colis</v>
      </c>
      <c r="AH14" s="826"/>
      <c r="AI14" s="826"/>
      <c r="AJ14" s="826">
        <f>IF(NOT(QUOTE_Split_SoftwareHardware),
IF(ISBLANK(Q14),"",Q14),
TotalPackages)</f>
        <v>0</v>
      </c>
      <c r="AK14" s="826"/>
    </row>
    <row r="15" spans="1:44" ht="11.25" customHeight="1" x14ac:dyDescent="0.2">
      <c r="B15" s="826" t="str">
        <f>Inv!B15</f>
        <v xml:space="preserve">,  </v>
      </c>
      <c r="C15" s="826"/>
      <c r="D15" s="826"/>
      <c r="E15" s="826"/>
      <c r="F15" s="826"/>
      <c r="G15" s="826"/>
      <c r="H15" s="122"/>
      <c r="I15" s="826" t="str">
        <f>Inv!I15</f>
        <v xml:space="preserve">,  </v>
      </c>
      <c r="J15" s="826"/>
      <c r="K15" s="826"/>
      <c r="L15" s="826"/>
      <c r="M15" s="119"/>
      <c r="N15" s="826" t="str">
        <f>IF(Francais,"Dimensions boîte (po)","Box Dimensions (in)")</f>
        <v>Dimensions boîte (po)</v>
      </c>
      <c r="O15" s="826"/>
      <c r="P15" s="826"/>
      <c r="Q15" s="863" t="str">
        <f>IF(ISBLANK(Inv!Q15),"",Inv!Q15)</f>
        <v/>
      </c>
      <c r="R15" s="863"/>
      <c r="T15" s="46"/>
      <c r="U15" s="826" t="str">
        <f t="shared" si="0"/>
        <v xml:space="preserve">,  </v>
      </c>
      <c r="V15" s="826"/>
      <c r="W15" s="826"/>
      <c r="X15" s="826"/>
      <c r="Y15" s="826"/>
      <c r="Z15" s="826"/>
      <c r="AA15" s="122"/>
      <c r="AB15" s="826" t="str">
        <f t="shared" si="1"/>
        <v xml:space="preserve">,  </v>
      </c>
      <c r="AC15" s="826"/>
      <c r="AD15" s="826"/>
      <c r="AE15" s="826"/>
      <c r="AF15" s="119"/>
      <c r="AG15" s="826" t="str">
        <f>N15</f>
        <v>Dimensions boîte (po)</v>
      </c>
      <c r="AH15" s="826"/>
      <c r="AI15" s="826"/>
      <c r="AJ15" s="872" t="str">
        <f>IF(NOT(QUOTE_Split_SoftwareHardware),
IF(ISBLANK(Q15),"",Q15),
IF(AND(N_Soft_Upd_Upg_Total&gt;0,TotalWeight=0, QUOTE_InternetDownload),
"PAK",
Vars!N86))</f>
        <v/>
      </c>
      <c r="AK15" s="872"/>
      <c r="AM15" s="826"/>
      <c r="AN15" s="826"/>
      <c r="AO15" s="826"/>
      <c r="AP15" s="871"/>
      <c r="AQ15" s="871"/>
      <c r="AR15" s="721"/>
    </row>
    <row r="16" spans="1:44" ht="11.25" customHeight="1" x14ac:dyDescent="0.2">
      <c r="B16" s="826" t="str">
        <f>IF(ISBLANK(Inv!B16),"",Inv!B16)</f>
        <v/>
      </c>
      <c r="C16" s="826"/>
      <c r="D16" s="826"/>
      <c r="E16" s="826"/>
      <c r="F16" s="826"/>
      <c r="G16" s="826"/>
      <c r="H16" s="122"/>
      <c r="I16" s="826" t="str">
        <f>IF(ISBLANK(Inv!I16),"",Inv!I16)</f>
        <v/>
      </c>
      <c r="J16" s="826"/>
      <c r="K16" s="826"/>
      <c r="L16" s="826"/>
      <c r="M16" s="119"/>
      <c r="N16" s="237"/>
      <c r="O16" s="237"/>
      <c r="P16" s="119"/>
      <c r="Q16" s="863"/>
      <c r="R16" s="863"/>
      <c r="T16" s="46"/>
      <c r="U16" s="826" t="str">
        <f>B16</f>
        <v/>
      </c>
      <c r="V16" s="826"/>
      <c r="W16" s="826"/>
      <c r="X16" s="826"/>
      <c r="Y16" s="826"/>
      <c r="Z16" s="826"/>
      <c r="AA16" s="122"/>
      <c r="AB16" s="826" t="str">
        <f>I16</f>
        <v/>
      </c>
      <c r="AC16" s="826"/>
      <c r="AD16" s="826"/>
      <c r="AE16" s="826"/>
      <c r="AF16" s="119"/>
      <c r="AG16" s="237"/>
      <c r="AH16" s="237"/>
      <c r="AI16" s="119"/>
      <c r="AJ16" s="872"/>
      <c r="AK16" s="872"/>
    </row>
    <row r="17" spans="1:37" ht="11.25" customHeight="1" x14ac:dyDescent="0.2">
      <c r="B17" s="861" t="str">
        <f>Inv!B17</f>
        <v xml:space="preserve">Contact:   </v>
      </c>
      <c r="C17" s="861"/>
      <c r="D17" s="861"/>
      <c r="E17" s="861"/>
      <c r="F17" s="861"/>
      <c r="G17" s="861"/>
      <c r="H17" s="123"/>
      <c r="I17" s="861" t="str">
        <f>Inv!I17</f>
        <v xml:space="preserve">Contact:   </v>
      </c>
      <c r="J17" s="861"/>
      <c r="K17" s="861"/>
      <c r="L17" s="861"/>
      <c r="M17" s="119"/>
      <c r="N17" s="826" t="str">
        <f>IF(Francais,"Poids net","Weight Net")</f>
        <v>Poids net</v>
      </c>
      <c r="O17" s="826"/>
      <c r="P17" s="826"/>
      <c r="Q17" s="757">
        <f>IF(ISBLANK(Inv!Q17),"",Inv!Q17)</f>
        <v>0</v>
      </c>
      <c r="R17" s="758">
        <f>IFERROR(Q17/2.205,"")</f>
        <v>0</v>
      </c>
      <c r="T17" s="46"/>
      <c r="U17" s="861" t="str">
        <f t="shared" si="0"/>
        <v xml:space="preserve">Contact:   </v>
      </c>
      <c r="V17" s="861"/>
      <c r="W17" s="861"/>
      <c r="X17" s="861"/>
      <c r="Y17" s="861"/>
      <c r="Z17" s="861"/>
      <c r="AA17" s="123"/>
      <c r="AB17" s="861" t="str">
        <f t="shared" si="1"/>
        <v xml:space="preserve">Contact:   </v>
      </c>
      <c r="AC17" s="861"/>
      <c r="AD17" s="861"/>
      <c r="AE17" s="861"/>
      <c r="AF17" s="119"/>
      <c r="AG17" s="826" t="str">
        <f>N17</f>
        <v>Poids net</v>
      </c>
      <c r="AH17" s="826"/>
      <c r="AI17" s="826"/>
      <c r="AJ17" s="759" t="str">
        <f>IF(ISBLANK(Inv!AL17),"",Inv!AL17)</f>
        <v/>
      </c>
      <c r="AK17" s="758" t="str">
        <f>IFERROR(AJ17/2.205,"")</f>
        <v/>
      </c>
    </row>
    <row r="18" spans="1:37" ht="11.25" customHeight="1" x14ac:dyDescent="0.2">
      <c r="B18" s="237" t="str">
        <f>IF(Francais,"Tél.","Tel.")</f>
        <v>Tél.</v>
      </c>
      <c r="C18" s="861" t="str">
        <f>IF(ISBLANK(Inv!C18),"",Inv!C18)</f>
        <v/>
      </c>
      <c r="D18" s="861"/>
      <c r="E18" s="861"/>
      <c r="F18" s="861"/>
      <c r="G18" s="861"/>
      <c r="H18" s="123"/>
      <c r="I18" s="237" t="str">
        <f>IF(Francais,"Tél.","Tel.")</f>
        <v>Tél.</v>
      </c>
      <c r="J18" s="861" t="str">
        <f>IF(ISBLANK(Inv!J18),"",Inv!J18)</f>
        <v/>
      </c>
      <c r="K18" s="861"/>
      <c r="L18" s="861"/>
      <c r="M18" s="119"/>
      <c r="N18" s="826" t="str">
        <f>IF(Francais,"Poids brut","Weight Gross")</f>
        <v>Poids brut</v>
      </c>
      <c r="O18" s="826"/>
      <c r="P18" s="826"/>
      <c r="Q18" s="757">
        <f>IF(ISBLANK(Inv!Q18),"",Inv!Q18)</f>
        <v>0</v>
      </c>
      <c r="R18" s="758">
        <f>IFERROR(Q18/2.205,"")</f>
        <v>0</v>
      </c>
      <c r="T18" s="46"/>
      <c r="U18" s="237" t="str">
        <f>IF(Francais,"Tél.","Tel.")</f>
        <v>Tél.</v>
      </c>
      <c r="V18" s="864" t="str">
        <f>C18</f>
        <v/>
      </c>
      <c r="W18" s="864"/>
      <c r="X18" s="861"/>
      <c r="Y18" s="861"/>
      <c r="Z18" s="861"/>
      <c r="AA18" s="123"/>
      <c r="AB18" s="237" t="str">
        <f>IF(Francais,"Tél.","Tel.")</f>
        <v>Tél.</v>
      </c>
      <c r="AC18" s="861" t="str">
        <f>J18</f>
        <v/>
      </c>
      <c r="AD18" s="861"/>
      <c r="AE18" s="861"/>
      <c r="AF18" s="119"/>
      <c r="AG18" s="826" t="str">
        <f>N18</f>
        <v>Poids brut</v>
      </c>
      <c r="AH18" s="826"/>
      <c r="AI18" s="826"/>
      <c r="AJ18" s="759" t="str">
        <f>IF(ISBLANK(Inv!AL18),"",Inv!AL18)</f>
        <v/>
      </c>
      <c r="AK18" s="758" t="str">
        <f>IFERROR(AJ18/2.205,"")</f>
        <v/>
      </c>
    </row>
    <row r="19" spans="1:37" ht="11" customHeight="1" x14ac:dyDescent="0.2">
      <c r="B19" s="778" t="str">
        <f>IF(Francais,"Courriel:","Email:") &amp; " " &amp; IF(ISBLANK(HOME_Email),"",HOME_Email)</f>
        <v xml:space="preserve">Courriel: </v>
      </c>
      <c r="C19" s="724"/>
      <c r="D19" s="724"/>
      <c r="E19" s="724"/>
      <c r="F19" s="724"/>
      <c r="G19" s="724"/>
      <c r="H19" s="123"/>
      <c r="I19" s="777" t="str">
        <f>IF(Francais,"Courriel:","Email:") &amp; " " &amp; IF(ISBLANK(HOME_Email_Ship),"",HOME_Email_Ship)</f>
        <v xml:space="preserve">Courriel: </v>
      </c>
      <c r="J19" s="724"/>
      <c r="K19" s="119"/>
      <c r="L19" s="119"/>
      <c r="M19" s="237"/>
      <c r="N19" s="826" t="str">
        <f>IF(Francais,"Poids volumétrique","Weight Billing")</f>
        <v>Poids volumétrique</v>
      </c>
      <c r="O19" s="826"/>
      <c r="P19" s="826"/>
      <c r="Q19" s="757">
        <f>IF(NOT(QUOTE_Split_SoftwareHardware),
TotalWeight,
"")</f>
        <v>0</v>
      </c>
      <c r="R19" s="758">
        <f>IFERROR(Q19/2.205,"")</f>
        <v>0</v>
      </c>
      <c r="T19" s="46"/>
      <c r="U19" s="778" t="str">
        <f>IF(Francais,"Courriel:","Email:") &amp; " " &amp; IF(ISBLANK(HOME_Email),"",HOME_Email)</f>
        <v xml:space="preserve">Courriel: </v>
      </c>
      <c r="V19" s="237"/>
      <c r="W19" s="237"/>
      <c r="X19" s="237"/>
      <c r="Y19" s="237"/>
      <c r="Z19" s="237"/>
      <c r="AA19" s="123"/>
      <c r="AB19" s="777" t="str">
        <f>IF(Francais,"Courriel:","Email:") &amp; " " &amp; IF(ISBLANK(HOME_Email_Ship),"",HOME_Email_Ship)</f>
        <v xml:space="preserve">Courriel: </v>
      </c>
      <c r="AC19" s="724"/>
      <c r="AD19" s="125"/>
      <c r="AE19" s="125"/>
      <c r="AF19" s="237"/>
      <c r="AG19" s="826" t="str">
        <f>N19</f>
        <v>Poids volumétrique</v>
      </c>
      <c r="AH19" s="826"/>
      <c r="AI19" s="826"/>
      <c r="AJ19" s="757">
        <f>IF(NOT(QUOTE_Split_SoftwareHardware),
IF(ISBLANK(R19),"",R19),
TotalWeight)</f>
        <v>0</v>
      </c>
      <c r="AK19" s="758">
        <f>IFERROR(AJ19/2.205,"")</f>
        <v>0</v>
      </c>
    </row>
    <row r="20" spans="1:37" ht="11" customHeight="1" x14ac:dyDescent="0.2">
      <c r="B20" s="737"/>
      <c r="C20" s="737"/>
      <c r="D20" s="737"/>
      <c r="E20" s="737"/>
      <c r="F20" s="737"/>
      <c r="G20" s="737"/>
      <c r="H20" s="123"/>
      <c r="I20" s="384" t="str">
        <f>IF(Francais,
"#Id Taxes / EORI",
"Tax Id / EORI #"
) &amp; ":  " &amp; RIGHT(Inv!I20,LEN(Inv!I20)-18-IF(Francais,1,0))</f>
        <v xml:space="preserve">#Id Taxes / EORI:  </v>
      </c>
      <c r="J20" s="237"/>
      <c r="K20" s="384"/>
      <c r="L20" s="384"/>
      <c r="M20" s="237"/>
      <c r="N20" s="735"/>
      <c r="O20" s="735"/>
      <c r="P20" s="735"/>
      <c r="Q20" s="722"/>
      <c r="R20" s="723"/>
      <c r="T20" s="46"/>
      <c r="U20" s="737"/>
      <c r="V20" s="737"/>
      <c r="W20" s="737"/>
      <c r="X20" s="737"/>
      <c r="Y20" s="737"/>
      <c r="Z20" s="737"/>
      <c r="AA20" s="123"/>
      <c r="AB20" s="384" t="str">
        <f>IF(Francais,
"#Id Taxes / EORI",
"Tax Id / EORI #"
) &amp; ":  " &amp; RIGHT(Inv!AB20,LEN(Inv!AB20)-18-IF(Francais,1,0))</f>
        <v xml:space="preserve">#Id Taxes / EORI:  </v>
      </c>
      <c r="AC20" s="237"/>
      <c r="AD20" s="384"/>
      <c r="AE20" s="384"/>
      <c r="AF20" s="237"/>
      <c r="AG20" s="735"/>
      <c r="AH20" s="735"/>
      <c r="AI20" s="735"/>
      <c r="AJ20" s="722"/>
      <c r="AK20" s="723"/>
    </row>
    <row r="21" spans="1:37" ht="2.75" customHeight="1" x14ac:dyDescent="0.2">
      <c r="T21" s="46"/>
      <c r="U21" s="46"/>
      <c r="V21" s="46"/>
      <c r="W21" s="46"/>
      <c r="X21" s="46"/>
      <c r="Y21" s="46"/>
      <c r="Z21" s="46"/>
      <c r="AA21" s="46"/>
      <c r="AB21" s="46"/>
      <c r="AC21" s="46"/>
      <c r="AD21" s="46"/>
      <c r="AE21" s="46"/>
      <c r="AF21" s="46"/>
      <c r="AG21" s="46"/>
      <c r="AH21" s="46"/>
      <c r="AI21" s="46"/>
      <c r="AJ21" s="46"/>
      <c r="AK21" s="46"/>
    </row>
    <row r="22" spans="1:37" s="57" customFormat="1" ht="24" customHeight="1" x14ac:dyDescent="0.15">
      <c r="A22" s="241"/>
      <c r="B22" s="74" t="s">
        <v>35</v>
      </c>
      <c r="C22" s="75" t="str">
        <f>IF(Francais,"QTÉ","QTY")</f>
        <v>QTÉ</v>
      </c>
      <c r="D22" s="75" t="str">
        <f>IF(Francais,"EXP.","SHIP.")</f>
        <v>EXP.</v>
      </c>
      <c r="E22" s="832" t="s">
        <v>19</v>
      </c>
      <c r="F22" s="832"/>
      <c r="G22" s="75"/>
      <c r="H22" s="75"/>
      <c r="I22" s="75"/>
      <c r="J22" s="75"/>
      <c r="K22" s="75"/>
      <c r="L22" s="75"/>
      <c r="M22" s="75"/>
      <c r="N22" s="75"/>
      <c r="O22" s="867" t="str">
        <f>IF(QUOTE_DetailedPrices,"DETAILED EXT. PRICE",IF(Francais,"CODE HARMONISÉ","HARMONIZED CODE"))</f>
        <v>CODE HARMONISÉ</v>
      </c>
      <c r="P22" s="867"/>
      <c r="Q22" s="76" t="str">
        <f>IF(Francais,"PRIX UNITAIRE","UNIT PRICE")</f>
        <v>PRIX UNITAIRE</v>
      </c>
      <c r="R22" s="76" t="str">
        <f>IF(Francais,"SOUS-TOTAL","EXTENDED PRICE")</f>
        <v>SOUS-TOTAL</v>
      </c>
      <c r="T22" s="241"/>
      <c r="U22" s="74" t="s">
        <v>35</v>
      </c>
      <c r="V22" s="75" t="str">
        <f>IF(Francais,"QTÉ","QTY")</f>
        <v>QTÉ</v>
      </c>
      <c r="W22" s="75" t="str">
        <f>IF(Francais,"EXP.","SHIP.")</f>
        <v>EXP.</v>
      </c>
      <c r="X22" s="832" t="s">
        <v>19</v>
      </c>
      <c r="Y22" s="832"/>
      <c r="Z22" s="75"/>
      <c r="AA22" s="75"/>
      <c r="AB22" s="75"/>
      <c r="AC22" s="75"/>
      <c r="AD22" s="75"/>
      <c r="AE22" s="75"/>
      <c r="AF22" s="75"/>
      <c r="AG22" s="75"/>
      <c r="AH22" s="860" t="str">
        <f>IF(QUOTE_DetailedPrices,"DETAILED EXT. PRICE",IF(Francais,"CODE HARMONISÉ","HARMONIZED CODE"))</f>
        <v>CODE HARMONISÉ</v>
      </c>
      <c r="AI22" s="860"/>
      <c r="AJ22" s="76" t="str">
        <f>IF(Francais,"PRIX UNITAIRE","UNIT PRICE")</f>
        <v>PRIX UNITAIRE</v>
      </c>
      <c r="AK22" s="76" t="str">
        <f>IF(Francais,"SOUS-TOTAL","EXTENDED PRICE")</f>
        <v>SOUS-TOTAL</v>
      </c>
    </row>
    <row r="23" spans="1:37" ht="11" customHeight="1" x14ac:dyDescent="0.2">
      <c r="A23" s="83"/>
      <c r="B23" s="242"/>
      <c r="C23" s="243"/>
      <c r="D23" s="243"/>
      <c r="E23" s="854" t="str">
        <f>IF(ISBLANK(Quote!D23),"",Quote!D23)</f>
        <v/>
      </c>
      <c r="F23" s="836"/>
      <c r="G23" s="836"/>
      <c r="H23" s="836"/>
      <c r="I23" s="836"/>
      <c r="J23" s="836"/>
      <c r="K23" s="836"/>
      <c r="L23" s="836"/>
      <c r="M23" s="836"/>
      <c r="N23" s="836"/>
      <c r="O23" s="852"/>
      <c r="P23" s="853"/>
      <c r="Q23" s="174"/>
      <c r="R23" s="175"/>
      <c r="T23" s="83"/>
      <c r="U23" s="242"/>
      <c r="V23" s="243"/>
      <c r="W23" s="243"/>
      <c r="X23" s="854"/>
      <c r="Y23" s="836"/>
      <c r="Z23" s="836"/>
      <c r="AA23" s="836"/>
      <c r="AB23" s="836"/>
      <c r="AC23" s="836"/>
      <c r="AD23" s="836"/>
      <c r="AE23" s="836"/>
      <c r="AF23" s="836"/>
      <c r="AG23" s="836"/>
      <c r="AH23" s="852"/>
      <c r="AI23" s="853"/>
      <c r="AJ23" s="174"/>
      <c r="AK23" s="175"/>
    </row>
    <row r="24" spans="1:37" ht="11.25" customHeight="1" x14ac:dyDescent="0.2">
      <c r="A24" s="84"/>
      <c r="B24" s="73" t="str">
        <f>IF(AND(C24&gt;0,C24&lt;&gt;"",AND(LEFT(E24,7)&lt;&gt;"   • Wi",LEFT(E24,7)&lt;&gt;"   • XL")),
COUNT($C$24:C24),"")</f>
        <v/>
      </c>
      <c r="C24" s="82" t="str">
        <f>QCalc!Q171</f>
        <v/>
      </c>
      <c r="D24" s="82" t="str">
        <f>C24</f>
        <v/>
      </c>
      <c r="E24" s="873" t="str">
        <f>QCalc!N171</f>
        <v/>
      </c>
      <c r="F24" s="874"/>
      <c r="G24" s="874"/>
      <c r="H24" s="874"/>
      <c r="I24" s="874"/>
      <c r="J24" s="874"/>
      <c r="K24" s="874"/>
      <c r="L24" s="874"/>
      <c r="M24" s="874"/>
      <c r="N24" s="874"/>
      <c r="O24" s="824" t="str">
        <f>IF(QUOTE_DetailedPrices,QCalc!P171,QCalc!O171)</f>
        <v/>
      </c>
      <c r="P24" s="825"/>
      <c r="Q24" s="176" t="str">
        <f>IF($D24=0,0,QCalc!R171)</f>
        <v/>
      </c>
      <c r="R24" s="177" t="str">
        <f>IF($D24=0,0,QCalc!S171)</f>
        <v/>
      </c>
      <c r="T24" s="84"/>
      <c r="U24" s="73"/>
      <c r="V24" s="82"/>
      <c r="W24" s="82"/>
      <c r="X24" s="873"/>
      <c r="Y24" s="874"/>
      <c r="Z24" s="874"/>
      <c r="AA24" s="874"/>
      <c r="AB24" s="874"/>
      <c r="AC24" s="874"/>
      <c r="AD24" s="874"/>
      <c r="AE24" s="874"/>
      <c r="AF24" s="874"/>
      <c r="AG24" s="874"/>
      <c r="AH24" s="824"/>
      <c r="AI24" s="825"/>
      <c r="AJ24" s="176"/>
      <c r="AK24" s="177"/>
    </row>
    <row r="25" spans="1:37" ht="11.25" customHeight="1" x14ac:dyDescent="0.2">
      <c r="A25" s="84"/>
      <c r="B25" s="73" t="str">
        <f>IF(AND(C25&gt;0,C25&lt;&gt;"",AND(LEFT(E25,7)&lt;&gt;"   • Wi",LEFT(E25,7)&lt;&gt;"   • XL")),
COUNT($C$24:C25),"")</f>
        <v/>
      </c>
      <c r="C25" s="82" t="str">
        <f>QCalc!Q172</f>
        <v/>
      </c>
      <c r="D25" s="120" t="str">
        <f t="shared" ref="D25:D32" si="3">C25</f>
        <v/>
      </c>
      <c r="E25" s="873" t="str">
        <f>QCalc!N172</f>
        <v/>
      </c>
      <c r="F25" s="874"/>
      <c r="G25" s="874"/>
      <c r="H25" s="874"/>
      <c r="I25" s="874"/>
      <c r="J25" s="874"/>
      <c r="K25" s="874"/>
      <c r="L25" s="874"/>
      <c r="M25" s="874"/>
      <c r="N25" s="874"/>
      <c r="O25" s="824" t="str">
        <f>IF(QUOTE_DetailedPrices,QCalc!P172,QCalc!O172)</f>
        <v/>
      </c>
      <c r="P25" s="825"/>
      <c r="Q25" s="176" t="str">
        <f>IF($D25=0,0,QCalc!R172)</f>
        <v/>
      </c>
      <c r="R25" s="177" t="str">
        <f>IF($D25=0,0,QCalc!S172)</f>
        <v/>
      </c>
      <c r="T25" s="84"/>
      <c r="U25" s="73"/>
      <c r="V25" s="82"/>
      <c r="W25" s="82"/>
      <c r="X25" s="873"/>
      <c r="Y25" s="874"/>
      <c r="Z25" s="874"/>
      <c r="AA25" s="874"/>
      <c r="AB25" s="874"/>
      <c r="AC25" s="874"/>
      <c r="AD25" s="874"/>
      <c r="AE25" s="874"/>
      <c r="AF25" s="874"/>
      <c r="AG25" s="874"/>
      <c r="AH25" s="824"/>
      <c r="AI25" s="825"/>
      <c r="AJ25" s="176"/>
      <c r="AK25" s="177"/>
    </row>
    <row r="26" spans="1:37" ht="11.25" customHeight="1" x14ac:dyDescent="0.2">
      <c r="A26" s="84"/>
      <c r="B26" s="73" t="str">
        <f>IF(AND(C26&gt;0,C26&lt;&gt;"",AND(LEFT(E26,7)&lt;&gt;"   • Wi",LEFT(E26,7)&lt;&gt;"   • XL")),
COUNT($C$24:C26),"")</f>
        <v/>
      </c>
      <c r="C26" s="82" t="str">
        <f>QCalc!Q173</f>
        <v/>
      </c>
      <c r="D26" s="121" t="str">
        <f t="shared" si="3"/>
        <v/>
      </c>
      <c r="E26" s="822" t="str">
        <f>QCalc!N173</f>
        <v/>
      </c>
      <c r="F26" s="823"/>
      <c r="G26" s="823"/>
      <c r="H26" s="823"/>
      <c r="I26" s="823"/>
      <c r="J26" s="823"/>
      <c r="K26" s="823"/>
      <c r="L26" s="823"/>
      <c r="M26" s="823"/>
      <c r="N26" s="823"/>
      <c r="O26" s="850" t="str">
        <f>IF(QUOTE_DetailedPrices,QCalc!P173,QCalc!O173)</f>
        <v/>
      </c>
      <c r="P26" s="851"/>
      <c r="Q26" s="176" t="str">
        <f>IF($D26=0,0,QCalc!R173)</f>
        <v/>
      </c>
      <c r="R26" s="177" t="str">
        <f>IF($D26=0,0,QCalc!S173)</f>
        <v/>
      </c>
      <c r="T26" s="84"/>
      <c r="U26" s="73"/>
      <c r="V26" s="82"/>
      <c r="W26" s="82"/>
      <c r="X26" s="873"/>
      <c r="Y26" s="874"/>
      <c r="Z26" s="874"/>
      <c r="AA26" s="874"/>
      <c r="AB26" s="874"/>
      <c r="AC26" s="874"/>
      <c r="AD26" s="874"/>
      <c r="AE26" s="874"/>
      <c r="AF26" s="874"/>
      <c r="AG26" s="874"/>
      <c r="AH26" s="824"/>
      <c r="AI26" s="825"/>
      <c r="AJ26" s="176"/>
      <c r="AK26" s="177"/>
    </row>
    <row r="27" spans="1:37" ht="11.25" customHeight="1" x14ac:dyDescent="0.2">
      <c r="A27" s="84"/>
      <c r="B27" s="73" t="str">
        <f>IF(AND(C27&gt;0,C27&lt;&gt;"",AND(LEFT(E27,7)&lt;&gt;"   • Wi",LEFT(E27,7)&lt;&gt;"   • XL")),
COUNT($C$24:C27),"")</f>
        <v/>
      </c>
      <c r="C27" s="82" t="str">
        <f>QCalc!Q174</f>
        <v/>
      </c>
      <c r="D27" s="121" t="str">
        <f t="shared" si="3"/>
        <v/>
      </c>
      <c r="E27" s="822" t="str">
        <f>QCalc!N174</f>
        <v/>
      </c>
      <c r="F27" s="823"/>
      <c r="G27" s="823"/>
      <c r="H27" s="823"/>
      <c r="I27" s="823"/>
      <c r="J27" s="823"/>
      <c r="K27" s="823"/>
      <c r="L27" s="823"/>
      <c r="M27" s="823"/>
      <c r="N27" s="823"/>
      <c r="O27" s="850" t="str">
        <f>IF(QUOTE_DetailedPrices,QCalc!P174,QCalc!O174)</f>
        <v/>
      </c>
      <c r="P27" s="851"/>
      <c r="Q27" s="176" t="str">
        <f>IF($D27=0,0,QCalc!R174)</f>
        <v/>
      </c>
      <c r="R27" s="177" t="str">
        <f>IF($D27=0,0,QCalc!S174)</f>
        <v/>
      </c>
      <c r="T27" s="84"/>
      <c r="U27" s="73"/>
      <c r="V27" s="82"/>
      <c r="W27" s="82"/>
      <c r="X27" s="873"/>
      <c r="Y27" s="874"/>
      <c r="Z27" s="874"/>
      <c r="AA27" s="874"/>
      <c r="AB27" s="874"/>
      <c r="AC27" s="874"/>
      <c r="AD27" s="874"/>
      <c r="AE27" s="874"/>
      <c r="AF27" s="874"/>
      <c r="AG27" s="874"/>
      <c r="AH27" s="824"/>
      <c r="AI27" s="825"/>
      <c r="AJ27" s="176"/>
      <c r="AK27" s="177"/>
    </row>
    <row r="28" spans="1:37" ht="11.25" customHeight="1" x14ac:dyDescent="0.2">
      <c r="A28" s="84"/>
      <c r="B28" s="73" t="str">
        <f>IF(AND(C28&gt;0,C28&lt;&gt;"",AND(LEFT(E28,7)&lt;&gt;"   • Wi",LEFT(E28,7)&lt;&gt;"   • XL")),
COUNT($C$24:C28),"")</f>
        <v/>
      </c>
      <c r="C28" s="82" t="str">
        <f>QCalc!Q175</f>
        <v/>
      </c>
      <c r="D28" s="121" t="str">
        <f t="shared" si="3"/>
        <v/>
      </c>
      <c r="E28" s="822" t="str">
        <f>QCalc!N175</f>
        <v/>
      </c>
      <c r="F28" s="823"/>
      <c r="G28" s="823"/>
      <c r="H28" s="823"/>
      <c r="I28" s="823"/>
      <c r="J28" s="823"/>
      <c r="K28" s="823"/>
      <c r="L28" s="823"/>
      <c r="M28" s="823"/>
      <c r="N28" s="823"/>
      <c r="O28" s="850" t="str">
        <f>IF(QUOTE_DetailedPrices,QCalc!P175,QCalc!O175)</f>
        <v/>
      </c>
      <c r="P28" s="851"/>
      <c r="Q28" s="176" t="str">
        <f>IF($D28=0,0,QCalc!R175)</f>
        <v/>
      </c>
      <c r="R28" s="177" t="str">
        <f>IF($D28=0,0,QCalc!S175)</f>
        <v/>
      </c>
      <c r="T28" s="84"/>
      <c r="U28" s="73"/>
      <c r="V28" s="82"/>
      <c r="W28" s="82"/>
      <c r="X28" s="873"/>
      <c r="Y28" s="874"/>
      <c r="Z28" s="874"/>
      <c r="AA28" s="874"/>
      <c r="AB28" s="874"/>
      <c r="AC28" s="874"/>
      <c r="AD28" s="874"/>
      <c r="AE28" s="874"/>
      <c r="AF28" s="874"/>
      <c r="AG28" s="874"/>
      <c r="AH28" s="824"/>
      <c r="AI28" s="825"/>
      <c r="AJ28" s="176"/>
      <c r="AK28" s="177"/>
    </row>
    <row r="29" spans="1:37" ht="11.25" customHeight="1" x14ac:dyDescent="0.2">
      <c r="A29" s="84"/>
      <c r="B29" s="73" t="str">
        <f>IF(AND(C29&gt;0,C29&lt;&gt;"",AND(LEFT(E29,7)&lt;&gt;"   • Wi",LEFT(E29,7)&lt;&gt;"   • XL")),
COUNT($C$24:C29),"")</f>
        <v/>
      </c>
      <c r="C29" s="82" t="str">
        <f>QCalc!Q176</f>
        <v/>
      </c>
      <c r="D29" s="121" t="str">
        <f t="shared" si="3"/>
        <v/>
      </c>
      <c r="E29" s="822" t="str">
        <f>QCalc!N176</f>
        <v/>
      </c>
      <c r="F29" s="823"/>
      <c r="G29" s="823"/>
      <c r="H29" s="823"/>
      <c r="I29" s="823"/>
      <c r="J29" s="823"/>
      <c r="K29" s="823"/>
      <c r="L29" s="823"/>
      <c r="M29" s="823"/>
      <c r="N29" s="823"/>
      <c r="O29" s="850" t="str">
        <f>IF(QUOTE_DetailedPrices,QCalc!P176,QCalc!O176)</f>
        <v/>
      </c>
      <c r="P29" s="851"/>
      <c r="Q29" s="176" t="str">
        <f>IF($D29=0,0,QCalc!R176)</f>
        <v/>
      </c>
      <c r="R29" s="177" t="str">
        <f>IF($D29=0,0,QCalc!S176)</f>
        <v/>
      </c>
      <c r="T29" s="84"/>
      <c r="U29" s="73"/>
      <c r="V29" s="82"/>
      <c r="W29" s="82"/>
      <c r="X29" s="873"/>
      <c r="Y29" s="874"/>
      <c r="Z29" s="874"/>
      <c r="AA29" s="874"/>
      <c r="AB29" s="874"/>
      <c r="AC29" s="874"/>
      <c r="AD29" s="874"/>
      <c r="AE29" s="874"/>
      <c r="AF29" s="874"/>
      <c r="AG29" s="874"/>
      <c r="AH29" s="824"/>
      <c r="AI29" s="825"/>
      <c r="AJ29" s="176"/>
      <c r="AK29" s="177"/>
    </row>
    <row r="30" spans="1:37" ht="11.25" customHeight="1" x14ac:dyDescent="0.2">
      <c r="A30" s="84"/>
      <c r="B30" s="73" t="str">
        <f>IF(AND(C30&gt;0,C30&lt;&gt;"",AND(LEFT(E30,7)&lt;&gt;"   • Wi",LEFT(E30,7)&lt;&gt;"   • XL")),
COUNT($C$24:C30),"")</f>
        <v/>
      </c>
      <c r="C30" s="82" t="str">
        <f>QCalc!Q177</f>
        <v/>
      </c>
      <c r="D30" s="121" t="str">
        <f t="shared" si="3"/>
        <v/>
      </c>
      <c r="E30" s="822" t="str">
        <f>QCalc!N177</f>
        <v/>
      </c>
      <c r="F30" s="823"/>
      <c r="G30" s="823"/>
      <c r="H30" s="823"/>
      <c r="I30" s="823"/>
      <c r="J30" s="823"/>
      <c r="K30" s="823"/>
      <c r="L30" s="823"/>
      <c r="M30" s="823"/>
      <c r="N30" s="823"/>
      <c r="O30" s="850" t="str">
        <f>IF(QUOTE_DetailedPrices,QCalc!P177,QCalc!O177)</f>
        <v/>
      </c>
      <c r="P30" s="851"/>
      <c r="Q30" s="176" t="str">
        <f>IF($D30=0,0,QCalc!R177)</f>
        <v/>
      </c>
      <c r="R30" s="177" t="str">
        <f>IF($D30=0,0,QCalc!S177)</f>
        <v/>
      </c>
      <c r="T30" s="84"/>
      <c r="U30" s="73"/>
      <c r="V30" s="82"/>
      <c r="W30" s="82"/>
      <c r="X30" s="873"/>
      <c r="Y30" s="874"/>
      <c r="Z30" s="874"/>
      <c r="AA30" s="874"/>
      <c r="AB30" s="874"/>
      <c r="AC30" s="874"/>
      <c r="AD30" s="874"/>
      <c r="AE30" s="874"/>
      <c r="AF30" s="874"/>
      <c r="AG30" s="874"/>
      <c r="AH30" s="824"/>
      <c r="AI30" s="825"/>
      <c r="AJ30" s="176"/>
      <c r="AK30" s="177"/>
    </row>
    <row r="31" spans="1:37" ht="11" customHeight="1" x14ac:dyDescent="0.2">
      <c r="A31" s="84"/>
      <c r="B31" s="73" t="str">
        <f>IF(AND(C31&gt;0,C31&lt;&gt;"",AND(LEFT(E31,7)&lt;&gt;"   • Wi",LEFT(E31,7)&lt;&gt;"   • XL")),
COUNT($C$24:C31),"")</f>
        <v/>
      </c>
      <c r="C31" s="82" t="str">
        <f>QCalc!Q178</f>
        <v/>
      </c>
      <c r="D31" s="121" t="str">
        <f t="shared" si="3"/>
        <v/>
      </c>
      <c r="E31" s="822" t="str">
        <f>QCalc!N178</f>
        <v/>
      </c>
      <c r="F31" s="823"/>
      <c r="G31" s="823"/>
      <c r="H31" s="823"/>
      <c r="I31" s="823"/>
      <c r="J31" s="823"/>
      <c r="K31" s="823"/>
      <c r="L31" s="823"/>
      <c r="M31" s="823"/>
      <c r="N31" s="823"/>
      <c r="O31" s="850" t="str">
        <f>IF(QUOTE_DetailedPrices,QCalc!P178,QCalc!O178)</f>
        <v/>
      </c>
      <c r="P31" s="851"/>
      <c r="Q31" s="176" t="str">
        <f>IF($D31=0,0,QCalc!R178)</f>
        <v/>
      </c>
      <c r="R31" s="177" t="str">
        <f>IF($D31=0,0,QCalc!S178)</f>
        <v/>
      </c>
      <c r="T31" s="84"/>
      <c r="U31" s="73"/>
      <c r="V31" s="82"/>
      <c r="W31" s="82"/>
      <c r="X31" s="873"/>
      <c r="Y31" s="874"/>
      <c r="Z31" s="874"/>
      <c r="AA31" s="874"/>
      <c r="AB31" s="874"/>
      <c r="AC31" s="874"/>
      <c r="AD31" s="874"/>
      <c r="AE31" s="874"/>
      <c r="AF31" s="874"/>
      <c r="AG31" s="874"/>
      <c r="AH31" s="824"/>
      <c r="AI31" s="825"/>
      <c r="AJ31" s="176"/>
      <c r="AK31" s="177"/>
    </row>
    <row r="32" spans="1:37" ht="11" customHeight="1" x14ac:dyDescent="0.2">
      <c r="A32" s="84"/>
      <c r="B32" s="73" t="str">
        <f>IF(AND(C32&gt;0,C32&lt;&gt;"",AND(LEFT(E32,7)&lt;&gt;"   • Wi",LEFT(E32,7)&lt;&gt;"   • XL")),
COUNT($C$24:C32),"")</f>
        <v/>
      </c>
      <c r="C32" s="82" t="str">
        <f>QCalc!Q179</f>
        <v/>
      </c>
      <c r="D32" s="121" t="str">
        <f t="shared" si="3"/>
        <v/>
      </c>
      <c r="E32" s="822" t="str">
        <f>QCalc!N179</f>
        <v/>
      </c>
      <c r="F32" s="823"/>
      <c r="G32" s="823"/>
      <c r="H32" s="823"/>
      <c r="I32" s="823"/>
      <c r="J32" s="823"/>
      <c r="K32" s="823"/>
      <c r="L32" s="823"/>
      <c r="M32" s="823"/>
      <c r="N32" s="823"/>
      <c r="O32" s="850" t="str">
        <f>IF(QUOTE_DetailedPrices,QCalc!P179,QCalc!O179)</f>
        <v/>
      </c>
      <c r="P32" s="851"/>
      <c r="Q32" s="176" t="str">
        <f>IF($D32=0,0,QCalc!R179)</f>
        <v/>
      </c>
      <c r="R32" s="177" t="str">
        <f>IF($D32=0,0,QCalc!S179)</f>
        <v/>
      </c>
      <c r="T32" s="84"/>
      <c r="U32" s="73"/>
      <c r="V32" s="82"/>
      <c r="W32" s="82"/>
      <c r="X32" s="873"/>
      <c r="Y32" s="874"/>
      <c r="Z32" s="874"/>
      <c r="AA32" s="874"/>
      <c r="AB32" s="874"/>
      <c r="AC32" s="874"/>
      <c r="AD32" s="874"/>
      <c r="AE32" s="874"/>
      <c r="AF32" s="874"/>
      <c r="AG32" s="874"/>
      <c r="AH32" s="824"/>
      <c r="AI32" s="825"/>
      <c r="AJ32" s="176"/>
      <c r="AK32" s="177"/>
    </row>
    <row r="33" spans="1:37" ht="11" customHeight="1" x14ac:dyDescent="0.2">
      <c r="A33" s="84"/>
      <c r="B33" s="73" t="str">
        <f>IF(AND(C33&gt;0,C33&lt;&gt;"",AND(LEFT(E33,7)&lt;&gt;"   • Wi",LEFT(E33,7)&lt;&gt;"   • XL")),
COUNT($C$24:C33),"")</f>
        <v/>
      </c>
      <c r="C33" s="82"/>
      <c r="D33" s="121"/>
      <c r="E33" s="822"/>
      <c r="F33" s="823"/>
      <c r="G33" s="823"/>
      <c r="H33" s="823"/>
      <c r="I33" s="823"/>
      <c r="J33" s="823"/>
      <c r="K33" s="823"/>
      <c r="L33" s="823"/>
      <c r="M33" s="823"/>
      <c r="N33" s="823"/>
      <c r="O33" s="850"/>
      <c r="P33" s="851"/>
      <c r="Q33" s="176"/>
      <c r="R33" s="177"/>
      <c r="T33" s="84"/>
      <c r="U33" s="73"/>
      <c r="V33" s="82"/>
      <c r="W33" s="82"/>
      <c r="X33" s="873"/>
      <c r="Y33" s="874"/>
      <c r="Z33" s="874"/>
      <c r="AA33" s="874"/>
      <c r="AB33" s="874"/>
      <c r="AC33" s="874"/>
      <c r="AD33" s="874"/>
      <c r="AE33" s="874"/>
      <c r="AF33" s="874"/>
      <c r="AG33" s="874"/>
      <c r="AH33" s="824"/>
      <c r="AI33" s="825"/>
      <c r="AJ33" s="176"/>
      <c r="AK33" s="177"/>
    </row>
    <row r="34" spans="1:37" ht="11" customHeight="1" x14ac:dyDescent="0.2">
      <c r="A34" s="84"/>
      <c r="B34" s="73" t="str">
        <f>IF(AND(C34&gt;0,C34&lt;&gt;"",AND(LEFT(E34,7)&lt;&gt;"   • Wi",LEFT(E34,7)&lt;&gt;"   • XL")),
COUNT($C$24:C34),"")</f>
        <v/>
      </c>
      <c r="C34" s="82"/>
      <c r="D34" s="121"/>
      <c r="E34" s="822"/>
      <c r="F34" s="823"/>
      <c r="G34" s="823"/>
      <c r="H34" s="823"/>
      <c r="I34" s="823"/>
      <c r="J34" s="823"/>
      <c r="K34" s="823"/>
      <c r="L34" s="823"/>
      <c r="M34" s="823"/>
      <c r="N34" s="823"/>
      <c r="O34" s="850"/>
      <c r="P34" s="851"/>
      <c r="Q34" s="176"/>
      <c r="R34" s="177"/>
      <c r="T34" s="84"/>
      <c r="U34" s="73"/>
      <c r="V34" s="82"/>
      <c r="W34" s="82"/>
      <c r="X34" s="873"/>
      <c r="Y34" s="874"/>
      <c r="Z34" s="874"/>
      <c r="AA34" s="874"/>
      <c r="AB34" s="874"/>
      <c r="AC34" s="874"/>
      <c r="AD34" s="874"/>
      <c r="AE34" s="874"/>
      <c r="AF34" s="874"/>
      <c r="AG34" s="874"/>
      <c r="AH34" s="824"/>
      <c r="AI34" s="825"/>
      <c r="AJ34" s="176"/>
      <c r="AK34" s="177"/>
    </row>
    <row r="35" spans="1:37" ht="11" customHeight="1" x14ac:dyDescent="0.2">
      <c r="A35" s="84"/>
      <c r="B35" s="73" t="str">
        <f>IF(AND(C35&gt;0,C35&lt;&gt;"",AND(LEFT(E35,7)&lt;&gt;"   • Wi",LEFT(E35,7)&lt;&gt;"   • XL")),
COUNT($C$24:C35),"")</f>
        <v/>
      </c>
      <c r="C35" s="82"/>
      <c r="D35" s="121"/>
      <c r="E35" s="822"/>
      <c r="F35" s="823"/>
      <c r="G35" s="823"/>
      <c r="H35" s="823"/>
      <c r="I35" s="823"/>
      <c r="J35" s="823"/>
      <c r="K35" s="823"/>
      <c r="L35" s="823"/>
      <c r="M35" s="823"/>
      <c r="N35" s="823"/>
      <c r="O35" s="850"/>
      <c r="P35" s="851"/>
      <c r="Q35" s="176"/>
      <c r="R35" s="177"/>
      <c r="T35" s="84"/>
      <c r="U35" s="73"/>
      <c r="V35" s="82"/>
      <c r="W35" s="82"/>
      <c r="X35" s="873"/>
      <c r="Y35" s="874"/>
      <c r="Z35" s="874"/>
      <c r="AA35" s="874"/>
      <c r="AB35" s="874"/>
      <c r="AC35" s="874"/>
      <c r="AD35" s="874"/>
      <c r="AE35" s="874"/>
      <c r="AF35" s="874"/>
      <c r="AG35" s="874"/>
      <c r="AH35" s="824"/>
      <c r="AI35" s="825"/>
      <c r="AJ35" s="176"/>
      <c r="AK35" s="177"/>
    </row>
    <row r="36" spans="1:37" ht="11" customHeight="1" x14ac:dyDescent="0.2">
      <c r="A36" s="84"/>
      <c r="B36" s="73" t="str">
        <f>IF(AND(C36&gt;0,C36&lt;&gt;"",AND(LEFT(E36,7)&lt;&gt;"   • Wi",LEFT(E36,7)&lt;&gt;"   • XL")),
COUNT($C$24:C36),"")</f>
        <v/>
      </c>
      <c r="C36" s="82"/>
      <c r="D36" s="121"/>
      <c r="E36" s="822"/>
      <c r="F36" s="823"/>
      <c r="G36" s="823"/>
      <c r="H36" s="823"/>
      <c r="I36" s="823"/>
      <c r="J36" s="823"/>
      <c r="K36" s="823"/>
      <c r="L36" s="823"/>
      <c r="M36" s="823"/>
      <c r="N36" s="823"/>
      <c r="O36" s="850"/>
      <c r="P36" s="851"/>
      <c r="Q36" s="176"/>
      <c r="R36" s="177"/>
      <c r="T36" s="84"/>
      <c r="U36" s="73"/>
      <c r="V36" s="82"/>
      <c r="W36" s="82"/>
      <c r="X36" s="873"/>
      <c r="Y36" s="874"/>
      <c r="Z36" s="874"/>
      <c r="AA36" s="874"/>
      <c r="AB36" s="874"/>
      <c r="AC36" s="874"/>
      <c r="AD36" s="874"/>
      <c r="AE36" s="874"/>
      <c r="AF36" s="874"/>
      <c r="AG36" s="874"/>
      <c r="AH36" s="824"/>
      <c r="AI36" s="825"/>
      <c r="AJ36" s="176"/>
      <c r="AK36" s="177"/>
    </row>
    <row r="37" spans="1:37" ht="11" customHeight="1" x14ac:dyDescent="0.2">
      <c r="A37" s="84"/>
      <c r="B37" s="73" t="str">
        <f>IF(AND(C37&gt;0,C37&lt;&gt;"",AND(LEFT(E37,7)&lt;&gt;"   • Wi",LEFT(E37,7)&lt;&gt;"   • XL")),
COUNT($C$24:C37),"")</f>
        <v/>
      </c>
      <c r="C37" s="82"/>
      <c r="D37" s="121"/>
      <c r="E37" s="822"/>
      <c r="F37" s="823"/>
      <c r="G37" s="823"/>
      <c r="H37" s="823"/>
      <c r="I37" s="823"/>
      <c r="J37" s="823"/>
      <c r="K37" s="823"/>
      <c r="L37" s="823"/>
      <c r="M37" s="823"/>
      <c r="N37" s="823"/>
      <c r="O37" s="850"/>
      <c r="P37" s="851"/>
      <c r="Q37" s="176"/>
      <c r="R37" s="177"/>
      <c r="T37" s="84"/>
      <c r="U37" s="73"/>
      <c r="V37" s="82"/>
      <c r="W37" s="82"/>
      <c r="X37" s="873"/>
      <c r="Y37" s="874"/>
      <c r="Z37" s="874"/>
      <c r="AA37" s="874"/>
      <c r="AB37" s="874"/>
      <c r="AC37" s="874"/>
      <c r="AD37" s="874"/>
      <c r="AE37" s="874"/>
      <c r="AF37" s="874"/>
      <c r="AG37" s="874"/>
      <c r="AH37" s="824"/>
      <c r="AI37" s="825"/>
      <c r="AJ37" s="176"/>
      <c r="AK37" s="177"/>
    </row>
    <row r="38" spans="1:37" ht="11" customHeight="1" x14ac:dyDescent="0.2">
      <c r="A38" s="84"/>
      <c r="B38" s="73" t="str">
        <f>IF(AND(C38&gt;0,C38&lt;&gt;"",AND(LEFT(E38,7)&lt;&gt;"   • Wi",LEFT(E38,7)&lt;&gt;"   • XL")),
COUNT($C$24:C38),"")</f>
        <v/>
      </c>
      <c r="C38" s="82"/>
      <c r="D38" s="121"/>
      <c r="E38" s="822"/>
      <c r="F38" s="823"/>
      <c r="G38" s="823"/>
      <c r="H38" s="823"/>
      <c r="I38" s="823"/>
      <c r="J38" s="823"/>
      <c r="K38" s="823"/>
      <c r="L38" s="823"/>
      <c r="M38" s="823"/>
      <c r="N38" s="823"/>
      <c r="O38" s="850"/>
      <c r="P38" s="851"/>
      <c r="Q38" s="176"/>
      <c r="R38" s="177"/>
      <c r="T38" s="84"/>
      <c r="U38" s="73"/>
      <c r="V38" s="82"/>
      <c r="W38" s="82"/>
      <c r="X38" s="873"/>
      <c r="Y38" s="874"/>
      <c r="Z38" s="874"/>
      <c r="AA38" s="874"/>
      <c r="AB38" s="874"/>
      <c r="AC38" s="874"/>
      <c r="AD38" s="874"/>
      <c r="AE38" s="874"/>
      <c r="AF38" s="874"/>
      <c r="AG38" s="874"/>
      <c r="AH38" s="824"/>
      <c r="AI38" s="825"/>
      <c r="AJ38" s="176"/>
      <c r="AK38" s="177"/>
    </row>
    <row r="39" spans="1:37" ht="11" customHeight="1" x14ac:dyDescent="0.2">
      <c r="A39" s="84"/>
      <c r="B39" s="73" t="str">
        <f>IF(AND(C39&gt;0,C39&lt;&gt;"",AND(LEFT(E39,7)&lt;&gt;"   • Wi",LEFT(E39,7)&lt;&gt;"   • XL")),
COUNT($C$24:C39),"")</f>
        <v/>
      </c>
      <c r="C39" s="82"/>
      <c r="D39" s="121"/>
      <c r="E39" s="822"/>
      <c r="F39" s="823"/>
      <c r="G39" s="823"/>
      <c r="H39" s="823"/>
      <c r="I39" s="823"/>
      <c r="J39" s="823"/>
      <c r="K39" s="823"/>
      <c r="L39" s="823"/>
      <c r="M39" s="823"/>
      <c r="N39" s="823"/>
      <c r="O39" s="850"/>
      <c r="P39" s="851"/>
      <c r="Q39" s="176"/>
      <c r="R39" s="177"/>
      <c r="T39" s="84"/>
      <c r="U39" s="73"/>
      <c r="V39" s="82"/>
      <c r="W39" s="82"/>
      <c r="X39" s="873"/>
      <c r="Y39" s="874"/>
      <c r="Z39" s="874"/>
      <c r="AA39" s="874"/>
      <c r="AB39" s="874"/>
      <c r="AC39" s="874"/>
      <c r="AD39" s="874"/>
      <c r="AE39" s="874"/>
      <c r="AF39" s="874"/>
      <c r="AG39" s="874"/>
      <c r="AH39" s="824"/>
      <c r="AI39" s="825"/>
      <c r="AJ39" s="176"/>
      <c r="AK39" s="177"/>
    </row>
    <row r="40" spans="1:37" ht="11" customHeight="1" x14ac:dyDescent="0.2">
      <c r="A40" s="84"/>
      <c r="B40" s="73" t="str">
        <f>IF(AND(C40&gt;0,C40&lt;&gt;"",AND(LEFT(E40,7)&lt;&gt;"   • Wi",LEFT(E40,7)&lt;&gt;"   • XL")),
COUNT($C$24:C40),"")</f>
        <v/>
      </c>
      <c r="C40" s="82"/>
      <c r="D40" s="121"/>
      <c r="E40" s="822"/>
      <c r="F40" s="823"/>
      <c r="G40" s="823"/>
      <c r="H40" s="823"/>
      <c r="I40" s="823"/>
      <c r="J40" s="823"/>
      <c r="K40" s="823"/>
      <c r="L40" s="823"/>
      <c r="M40" s="823"/>
      <c r="N40" s="823"/>
      <c r="O40" s="850"/>
      <c r="P40" s="851"/>
      <c r="Q40" s="176"/>
      <c r="R40" s="177"/>
      <c r="T40" s="84"/>
      <c r="U40" s="73"/>
      <c r="V40" s="82"/>
      <c r="W40" s="82"/>
      <c r="X40" s="873"/>
      <c r="Y40" s="874"/>
      <c r="Z40" s="874"/>
      <c r="AA40" s="874"/>
      <c r="AB40" s="874"/>
      <c r="AC40" s="874"/>
      <c r="AD40" s="874"/>
      <c r="AE40" s="874"/>
      <c r="AF40" s="874"/>
      <c r="AG40" s="874"/>
      <c r="AH40" s="824"/>
      <c r="AI40" s="825"/>
      <c r="AJ40" s="176"/>
      <c r="AK40" s="177"/>
    </row>
    <row r="41" spans="1:37" ht="11" customHeight="1" x14ac:dyDescent="0.2">
      <c r="A41" s="84"/>
      <c r="B41" s="73" t="str">
        <f>IF(AND(C41&gt;0,C41&lt;&gt;"",AND(LEFT(E41,7)&lt;&gt;"   • Wi",LEFT(E41,7)&lt;&gt;"   • XL")),
COUNT($C$24:C41),"")</f>
        <v/>
      </c>
      <c r="C41" s="82"/>
      <c r="D41" s="121"/>
      <c r="E41" s="822"/>
      <c r="F41" s="823"/>
      <c r="G41" s="823"/>
      <c r="H41" s="823"/>
      <c r="I41" s="823"/>
      <c r="J41" s="823"/>
      <c r="K41" s="823"/>
      <c r="L41" s="823"/>
      <c r="M41" s="823"/>
      <c r="N41" s="823"/>
      <c r="O41" s="850"/>
      <c r="P41" s="851"/>
      <c r="Q41" s="176"/>
      <c r="R41" s="177"/>
      <c r="T41" s="84"/>
      <c r="U41" s="73"/>
      <c r="V41" s="82"/>
      <c r="W41" s="82"/>
      <c r="X41" s="873"/>
      <c r="Y41" s="874"/>
      <c r="Z41" s="874"/>
      <c r="AA41" s="874"/>
      <c r="AB41" s="874"/>
      <c r="AC41" s="874"/>
      <c r="AD41" s="874"/>
      <c r="AE41" s="874"/>
      <c r="AF41" s="874"/>
      <c r="AG41" s="874"/>
      <c r="AH41" s="824"/>
      <c r="AI41" s="825"/>
      <c r="AJ41" s="176"/>
      <c r="AK41" s="177"/>
    </row>
    <row r="42" spans="1:37" ht="11" customHeight="1" x14ac:dyDescent="0.2">
      <c r="A42" s="84"/>
      <c r="B42" s="73" t="str">
        <f>IF(AND(C42&gt;0,C42&lt;&gt;"",AND(LEFT(E42,7)&lt;&gt;"   • Wi",LEFT(E42,7)&lt;&gt;"   • XL")),
COUNT($C$24:C42),"")</f>
        <v/>
      </c>
      <c r="C42" s="82"/>
      <c r="D42" s="121"/>
      <c r="E42" s="822"/>
      <c r="F42" s="823"/>
      <c r="G42" s="823"/>
      <c r="H42" s="823"/>
      <c r="I42" s="823"/>
      <c r="J42" s="823"/>
      <c r="K42" s="823"/>
      <c r="L42" s="823"/>
      <c r="M42" s="823"/>
      <c r="N42" s="823"/>
      <c r="O42" s="850"/>
      <c r="P42" s="851"/>
      <c r="Q42" s="176"/>
      <c r="R42" s="177"/>
      <c r="T42" s="84"/>
      <c r="U42" s="73"/>
      <c r="V42" s="82"/>
      <c r="W42" s="82"/>
      <c r="X42" s="873"/>
      <c r="Y42" s="874"/>
      <c r="Z42" s="874"/>
      <c r="AA42" s="874"/>
      <c r="AB42" s="874"/>
      <c r="AC42" s="874"/>
      <c r="AD42" s="874"/>
      <c r="AE42" s="874"/>
      <c r="AF42" s="874"/>
      <c r="AG42" s="874"/>
      <c r="AH42" s="824"/>
      <c r="AI42" s="825"/>
      <c r="AJ42" s="176"/>
      <c r="AK42" s="177"/>
    </row>
    <row r="43" spans="1:37" ht="11" customHeight="1" x14ac:dyDescent="0.2">
      <c r="A43" s="84"/>
      <c r="B43" s="73" t="str">
        <f>IF(AND(C43&gt;0,C43&lt;&gt;"",AND(LEFT(E43,7)&lt;&gt;"   • Wi",LEFT(E43,7)&lt;&gt;"   • XL")),
COUNT($C$24:C43),"")</f>
        <v/>
      </c>
      <c r="C43" s="82"/>
      <c r="D43" s="121"/>
      <c r="E43" s="822"/>
      <c r="F43" s="823"/>
      <c r="G43" s="823"/>
      <c r="H43" s="823"/>
      <c r="I43" s="823"/>
      <c r="J43" s="823"/>
      <c r="K43" s="823"/>
      <c r="L43" s="823"/>
      <c r="M43" s="823"/>
      <c r="N43" s="823"/>
      <c r="O43" s="850"/>
      <c r="P43" s="851"/>
      <c r="Q43" s="176"/>
      <c r="R43" s="177"/>
      <c r="T43" s="84"/>
      <c r="U43" s="73"/>
      <c r="V43" s="82"/>
      <c r="W43" s="82"/>
      <c r="X43" s="873"/>
      <c r="Y43" s="874"/>
      <c r="Z43" s="874"/>
      <c r="AA43" s="874"/>
      <c r="AB43" s="874"/>
      <c r="AC43" s="874"/>
      <c r="AD43" s="874"/>
      <c r="AE43" s="874"/>
      <c r="AF43" s="874"/>
      <c r="AG43" s="874"/>
      <c r="AH43" s="824"/>
      <c r="AI43" s="825"/>
      <c r="AJ43" s="176"/>
      <c r="AK43" s="177"/>
    </row>
    <row r="44" spans="1:37" ht="11" customHeight="1" x14ac:dyDescent="0.2">
      <c r="A44" s="84"/>
      <c r="B44" s="73" t="str">
        <f>IF(AND(C44&gt;0,C44&lt;&gt;"",AND(LEFT(E44,7)&lt;&gt;"   • Wi",LEFT(E44,7)&lt;&gt;"   • XL")),
COUNT($C$24:C44),"")</f>
        <v/>
      </c>
      <c r="C44" s="82"/>
      <c r="D44" s="121"/>
      <c r="E44" s="822"/>
      <c r="F44" s="823"/>
      <c r="G44" s="823"/>
      <c r="H44" s="823"/>
      <c r="I44" s="823"/>
      <c r="J44" s="823"/>
      <c r="K44" s="823"/>
      <c r="L44" s="823"/>
      <c r="M44" s="823"/>
      <c r="N44" s="823"/>
      <c r="O44" s="850"/>
      <c r="P44" s="851"/>
      <c r="Q44" s="176"/>
      <c r="R44" s="177"/>
      <c r="T44" s="84"/>
      <c r="U44" s="73"/>
      <c r="V44" s="82"/>
      <c r="W44" s="82"/>
      <c r="X44" s="873"/>
      <c r="Y44" s="874"/>
      <c r="Z44" s="874"/>
      <c r="AA44" s="874"/>
      <c r="AB44" s="874"/>
      <c r="AC44" s="874"/>
      <c r="AD44" s="874"/>
      <c r="AE44" s="874"/>
      <c r="AF44" s="874"/>
      <c r="AG44" s="874"/>
      <c r="AH44" s="824"/>
      <c r="AI44" s="825"/>
      <c r="AJ44" s="176"/>
      <c r="AK44" s="177"/>
    </row>
    <row r="45" spans="1:37" ht="11" customHeight="1" x14ac:dyDescent="0.2">
      <c r="A45" s="84"/>
      <c r="B45" s="73" t="str">
        <f>IF(AND(C45&gt;0,C45&lt;&gt;"",AND(LEFT(E45,7)&lt;&gt;"   • Wi",LEFT(E45,7)&lt;&gt;"   • XL")),
COUNT($C$24:C45),"")</f>
        <v/>
      </c>
      <c r="C45" s="82"/>
      <c r="D45" s="121"/>
      <c r="E45" s="822"/>
      <c r="F45" s="823"/>
      <c r="G45" s="823"/>
      <c r="H45" s="823"/>
      <c r="I45" s="823"/>
      <c r="J45" s="823"/>
      <c r="K45" s="823"/>
      <c r="L45" s="823"/>
      <c r="M45" s="823"/>
      <c r="N45" s="823"/>
      <c r="O45" s="850"/>
      <c r="P45" s="851"/>
      <c r="Q45" s="176"/>
      <c r="R45" s="177"/>
      <c r="T45" s="84"/>
      <c r="U45" s="73"/>
      <c r="V45" s="82"/>
      <c r="W45" s="82"/>
      <c r="X45" s="873"/>
      <c r="Y45" s="874"/>
      <c r="Z45" s="874"/>
      <c r="AA45" s="874"/>
      <c r="AB45" s="874"/>
      <c r="AC45" s="874"/>
      <c r="AD45" s="874"/>
      <c r="AE45" s="874"/>
      <c r="AF45" s="874"/>
      <c r="AG45" s="874"/>
      <c r="AH45" s="824"/>
      <c r="AI45" s="825"/>
      <c r="AJ45" s="176"/>
      <c r="AK45" s="177"/>
    </row>
    <row r="46" spans="1:37" ht="11" customHeight="1" x14ac:dyDescent="0.2">
      <c r="A46" s="84"/>
      <c r="B46" s="73" t="str">
        <f>IF(AND(C46&gt;0,C46&lt;&gt;"",AND(LEFT(E46,7)&lt;&gt;"   • Wi",LEFT(E46,7)&lt;&gt;"   • XL")),
COUNT($C$24:C46),"")</f>
        <v/>
      </c>
      <c r="C46" s="82"/>
      <c r="D46" s="121"/>
      <c r="E46" s="822"/>
      <c r="F46" s="823"/>
      <c r="G46" s="823"/>
      <c r="H46" s="823"/>
      <c r="I46" s="823"/>
      <c r="J46" s="823"/>
      <c r="K46" s="823"/>
      <c r="L46" s="823"/>
      <c r="M46" s="823"/>
      <c r="N46" s="823"/>
      <c r="O46" s="850"/>
      <c r="P46" s="851"/>
      <c r="Q46" s="176"/>
      <c r="R46" s="177"/>
      <c r="T46" s="84"/>
      <c r="U46" s="73"/>
      <c r="V46" s="82"/>
      <c r="W46" s="82"/>
      <c r="X46" s="873"/>
      <c r="Y46" s="874"/>
      <c r="Z46" s="874"/>
      <c r="AA46" s="874"/>
      <c r="AB46" s="874"/>
      <c r="AC46" s="874"/>
      <c r="AD46" s="874"/>
      <c r="AE46" s="874"/>
      <c r="AF46" s="874"/>
      <c r="AG46" s="874"/>
      <c r="AH46" s="824"/>
      <c r="AI46" s="825"/>
      <c r="AJ46" s="176"/>
      <c r="AK46" s="177"/>
    </row>
    <row r="47" spans="1:37" ht="11" customHeight="1" x14ac:dyDescent="0.2">
      <c r="A47" s="84"/>
      <c r="B47" s="73" t="str">
        <f>IF(AND(C47&gt;0,C47&lt;&gt;"",AND(LEFT(E47,7)&lt;&gt;"   • Wi",LEFT(E47,7)&lt;&gt;"   • XL")),
COUNT($C$24:C47),"")</f>
        <v/>
      </c>
      <c r="C47" s="82"/>
      <c r="D47" s="121"/>
      <c r="E47" s="822"/>
      <c r="F47" s="823"/>
      <c r="G47" s="823"/>
      <c r="H47" s="823"/>
      <c r="I47" s="823"/>
      <c r="J47" s="823"/>
      <c r="K47" s="823"/>
      <c r="L47" s="823"/>
      <c r="M47" s="823"/>
      <c r="N47" s="823"/>
      <c r="O47" s="850"/>
      <c r="P47" s="851"/>
      <c r="Q47" s="176"/>
      <c r="R47" s="177"/>
      <c r="T47" s="84"/>
      <c r="U47" s="73"/>
      <c r="V47" s="82"/>
      <c r="W47" s="82"/>
      <c r="X47" s="873"/>
      <c r="Y47" s="874"/>
      <c r="Z47" s="874"/>
      <c r="AA47" s="874"/>
      <c r="AB47" s="874"/>
      <c r="AC47" s="874"/>
      <c r="AD47" s="874"/>
      <c r="AE47" s="874"/>
      <c r="AF47" s="874"/>
      <c r="AG47" s="874"/>
      <c r="AH47" s="824"/>
      <c r="AI47" s="825"/>
      <c r="AJ47" s="176"/>
      <c r="AK47" s="177"/>
    </row>
    <row r="48" spans="1:37" ht="11" customHeight="1" x14ac:dyDescent="0.2">
      <c r="A48" s="84"/>
      <c r="B48" s="73" t="str">
        <f>IF(AND(C48&gt;0,C48&lt;&gt;"",AND(LEFT(E48,7)&lt;&gt;"   • Wi",LEFT(E48,7)&lt;&gt;"   • XL")),
COUNT($C$24:C48),"")</f>
        <v/>
      </c>
      <c r="C48" s="82"/>
      <c r="D48" s="121"/>
      <c r="E48" s="822"/>
      <c r="F48" s="823"/>
      <c r="G48" s="823"/>
      <c r="H48" s="823"/>
      <c r="I48" s="823"/>
      <c r="J48" s="823"/>
      <c r="K48" s="823"/>
      <c r="L48" s="823"/>
      <c r="M48" s="823"/>
      <c r="N48" s="823"/>
      <c r="O48" s="850"/>
      <c r="P48" s="851"/>
      <c r="Q48" s="176"/>
      <c r="R48" s="177"/>
      <c r="T48" s="84"/>
      <c r="U48" s="73"/>
      <c r="V48" s="82"/>
      <c r="W48" s="82"/>
      <c r="X48" s="873"/>
      <c r="Y48" s="874"/>
      <c r="Z48" s="874"/>
      <c r="AA48" s="874"/>
      <c r="AB48" s="874"/>
      <c r="AC48" s="874"/>
      <c r="AD48" s="874"/>
      <c r="AE48" s="874"/>
      <c r="AF48" s="874"/>
      <c r="AG48" s="874"/>
      <c r="AH48" s="824"/>
      <c r="AI48" s="825"/>
      <c r="AJ48" s="176"/>
      <c r="AK48" s="177"/>
    </row>
    <row r="49" spans="1:37" ht="11" customHeight="1" x14ac:dyDescent="0.2">
      <c r="A49" s="84"/>
      <c r="B49" s="73" t="str">
        <f>IF(AND(C49&gt;0,C49&lt;&gt;"",AND(LEFT(E49,7)&lt;&gt;"   • Wi",LEFT(E49,7)&lt;&gt;"   • XL")),
COUNT($C$24:C49),"")</f>
        <v/>
      </c>
      <c r="C49" s="82"/>
      <c r="D49" s="121"/>
      <c r="E49" s="822"/>
      <c r="F49" s="823"/>
      <c r="G49" s="823"/>
      <c r="H49" s="823"/>
      <c r="I49" s="823"/>
      <c r="J49" s="823"/>
      <c r="K49" s="823"/>
      <c r="L49" s="823"/>
      <c r="M49" s="823"/>
      <c r="N49" s="823"/>
      <c r="O49" s="850"/>
      <c r="P49" s="851"/>
      <c r="Q49" s="176"/>
      <c r="R49" s="177"/>
      <c r="T49" s="84"/>
      <c r="U49" s="73"/>
      <c r="V49" s="82"/>
      <c r="W49" s="82"/>
      <c r="X49" s="873"/>
      <c r="Y49" s="874"/>
      <c r="Z49" s="874"/>
      <c r="AA49" s="874"/>
      <c r="AB49" s="874"/>
      <c r="AC49" s="874"/>
      <c r="AD49" s="874"/>
      <c r="AE49" s="874"/>
      <c r="AF49" s="874"/>
      <c r="AG49" s="874"/>
      <c r="AH49" s="824"/>
      <c r="AI49" s="825"/>
      <c r="AJ49" s="176"/>
      <c r="AK49" s="177"/>
    </row>
    <row r="50" spans="1:37" ht="11" customHeight="1" x14ac:dyDescent="0.2">
      <c r="A50" s="84"/>
      <c r="B50" s="73" t="str">
        <f>IF(AND(C50&gt;0,C50&lt;&gt;"",AND(LEFT(E50,7)&lt;&gt;"   • Wi",LEFT(E50,7)&lt;&gt;"   • XL")),
COUNT($C$24:C50),"")</f>
        <v/>
      </c>
      <c r="C50" s="82"/>
      <c r="D50" s="121"/>
      <c r="E50" s="822"/>
      <c r="F50" s="823"/>
      <c r="G50" s="823"/>
      <c r="H50" s="823"/>
      <c r="I50" s="823"/>
      <c r="J50" s="823"/>
      <c r="K50" s="823"/>
      <c r="L50" s="823"/>
      <c r="M50" s="823"/>
      <c r="N50" s="823"/>
      <c r="O50" s="850"/>
      <c r="P50" s="851"/>
      <c r="Q50" s="176"/>
      <c r="R50" s="177"/>
      <c r="T50" s="84"/>
      <c r="U50" s="73"/>
      <c r="V50" s="82"/>
      <c r="W50" s="82"/>
      <c r="X50" s="873"/>
      <c r="Y50" s="874"/>
      <c r="Z50" s="874"/>
      <c r="AA50" s="874"/>
      <c r="AB50" s="874"/>
      <c r="AC50" s="874"/>
      <c r="AD50" s="874"/>
      <c r="AE50" s="874"/>
      <c r="AF50" s="874"/>
      <c r="AG50" s="874"/>
      <c r="AH50" s="824"/>
      <c r="AI50" s="825"/>
      <c r="AJ50" s="176"/>
      <c r="AK50" s="177"/>
    </row>
    <row r="51" spans="1:37" ht="11" customHeight="1" x14ac:dyDescent="0.2">
      <c r="A51" s="84"/>
      <c r="B51" s="73" t="str">
        <f>IF(AND(C51&gt;0,C51&lt;&gt;"",AND(LEFT(E51,7)&lt;&gt;"   • Wi",LEFT(E51,7)&lt;&gt;"   • XL")),
COUNT($C$24:C51),"")</f>
        <v/>
      </c>
      <c r="C51" s="82"/>
      <c r="D51" s="121"/>
      <c r="E51" s="822"/>
      <c r="F51" s="823"/>
      <c r="G51" s="823"/>
      <c r="H51" s="823"/>
      <c r="I51" s="823"/>
      <c r="J51" s="823"/>
      <c r="K51" s="823"/>
      <c r="L51" s="823"/>
      <c r="M51" s="823"/>
      <c r="N51" s="823"/>
      <c r="O51" s="850"/>
      <c r="P51" s="851"/>
      <c r="Q51" s="176"/>
      <c r="R51" s="177"/>
      <c r="T51" s="84"/>
      <c r="U51" s="73"/>
      <c r="V51" s="82"/>
      <c r="W51" s="82"/>
      <c r="X51" s="873"/>
      <c r="Y51" s="874"/>
      <c r="Z51" s="874"/>
      <c r="AA51" s="874"/>
      <c r="AB51" s="874"/>
      <c r="AC51" s="874"/>
      <c r="AD51" s="874"/>
      <c r="AE51" s="874"/>
      <c r="AF51" s="874"/>
      <c r="AG51" s="874"/>
      <c r="AH51" s="824"/>
      <c r="AI51" s="825"/>
      <c r="AJ51" s="176"/>
      <c r="AK51" s="177"/>
    </row>
    <row r="52" spans="1:37" ht="11" customHeight="1" x14ac:dyDescent="0.2">
      <c r="A52" s="84"/>
      <c r="B52" s="73" t="str">
        <f>IF(AND(C52&gt;0,C52&lt;&gt;"",AND(LEFT(E52,7)&lt;&gt;"   • Wi",LEFT(E52,7)&lt;&gt;"   • XL")),
COUNT($C$24:C52),"")</f>
        <v/>
      </c>
      <c r="C52" s="82"/>
      <c r="D52" s="121"/>
      <c r="E52" s="822"/>
      <c r="F52" s="823"/>
      <c r="G52" s="823"/>
      <c r="H52" s="823"/>
      <c r="I52" s="823"/>
      <c r="J52" s="823"/>
      <c r="K52" s="823"/>
      <c r="L52" s="823"/>
      <c r="M52" s="823"/>
      <c r="N52" s="823"/>
      <c r="O52" s="850"/>
      <c r="P52" s="851"/>
      <c r="Q52" s="176"/>
      <c r="R52" s="177"/>
      <c r="T52" s="84"/>
      <c r="U52" s="73"/>
      <c r="V52" s="82"/>
      <c r="W52" s="82"/>
      <c r="X52" s="873"/>
      <c r="Y52" s="874"/>
      <c r="Z52" s="874"/>
      <c r="AA52" s="874"/>
      <c r="AB52" s="874"/>
      <c r="AC52" s="874"/>
      <c r="AD52" s="874"/>
      <c r="AE52" s="874"/>
      <c r="AF52" s="874"/>
      <c r="AG52" s="874"/>
      <c r="AH52" s="824"/>
      <c r="AI52" s="825"/>
      <c r="AJ52" s="176"/>
      <c r="AK52" s="177"/>
    </row>
    <row r="53" spans="1:37" ht="11" customHeight="1" x14ac:dyDescent="0.2">
      <c r="A53" s="84"/>
      <c r="B53" s="73" t="str">
        <f>IF(AND(C53&gt;0,C53&lt;&gt;"",AND(LEFT(E53,7)&lt;&gt;"   • Wi",LEFT(E53,7)&lt;&gt;"   • XL")),
COUNT($C$24:C53),"")</f>
        <v/>
      </c>
      <c r="C53" s="82"/>
      <c r="D53" s="121"/>
      <c r="E53" s="822"/>
      <c r="F53" s="823"/>
      <c r="G53" s="823"/>
      <c r="H53" s="823"/>
      <c r="I53" s="823"/>
      <c r="J53" s="823"/>
      <c r="K53" s="823"/>
      <c r="L53" s="823"/>
      <c r="M53" s="823"/>
      <c r="N53" s="823"/>
      <c r="O53" s="850"/>
      <c r="P53" s="851"/>
      <c r="Q53" s="176"/>
      <c r="R53" s="177"/>
      <c r="T53" s="84"/>
      <c r="U53" s="73"/>
      <c r="V53" s="82"/>
      <c r="W53" s="82"/>
      <c r="X53" s="873"/>
      <c r="Y53" s="874"/>
      <c r="Z53" s="874"/>
      <c r="AA53" s="874"/>
      <c r="AB53" s="874"/>
      <c r="AC53" s="874"/>
      <c r="AD53" s="874"/>
      <c r="AE53" s="874"/>
      <c r="AF53" s="874"/>
      <c r="AG53" s="874"/>
      <c r="AH53" s="824"/>
      <c r="AI53" s="825"/>
      <c r="AJ53" s="176"/>
      <c r="AK53" s="177"/>
    </row>
    <row r="54" spans="1:37" ht="11" customHeight="1" x14ac:dyDescent="0.2">
      <c r="A54" s="84"/>
      <c r="B54" s="73" t="str">
        <f>IF(AND(C54&gt;0,C54&lt;&gt;"",AND(LEFT(E54,7)&lt;&gt;"   • Wi",LEFT(E54,7)&lt;&gt;"   • XL")),
COUNT($C$24:C54),"")</f>
        <v/>
      </c>
      <c r="C54" s="82"/>
      <c r="D54" s="121"/>
      <c r="E54" s="822"/>
      <c r="F54" s="823"/>
      <c r="G54" s="823"/>
      <c r="H54" s="823"/>
      <c r="I54" s="823"/>
      <c r="J54" s="823"/>
      <c r="K54" s="823"/>
      <c r="L54" s="823"/>
      <c r="M54" s="823"/>
      <c r="N54" s="823"/>
      <c r="O54" s="850"/>
      <c r="P54" s="851"/>
      <c r="Q54" s="176"/>
      <c r="R54" s="177"/>
      <c r="T54" s="84"/>
      <c r="U54" s="73"/>
      <c r="V54" s="82"/>
      <c r="W54" s="82"/>
      <c r="X54" s="873"/>
      <c r="Y54" s="874"/>
      <c r="Z54" s="874"/>
      <c r="AA54" s="874"/>
      <c r="AB54" s="874"/>
      <c r="AC54" s="874"/>
      <c r="AD54" s="874"/>
      <c r="AE54" s="874"/>
      <c r="AF54" s="874"/>
      <c r="AG54" s="874"/>
      <c r="AH54" s="824"/>
      <c r="AI54" s="825"/>
      <c r="AJ54" s="176"/>
      <c r="AK54" s="177"/>
    </row>
    <row r="55" spans="1:37" ht="11" customHeight="1" x14ac:dyDescent="0.2">
      <c r="A55" s="85"/>
      <c r="B55" s="114"/>
      <c r="C55" s="87"/>
      <c r="D55" s="87"/>
      <c r="E55" s="115"/>
      <c r="F55" s="842" t="str">
        <f>IF(QUOTE_FilledByCustomer,
IF(Francais,"Rabais (1 %) pour la saisie d'informations complètes sur l'acheteur (Facturer à / Expédier à) sur la feuille Home.","Discount (1%) for entering complete buyer information (Bill to/Ship To) on the Home sheet."),
IF(RIGHT(R65,1)&lt;&gt;"1",IF(Francais,"Inclus aussi les items sur la(les) page(s) suivante(s)","Also includes items on next page(s)"),""))</f>
        <v/>
      </c>
      <c r="G55" s="842"/>
      <c r="H55" s="842"/>
      <c r="I55" s="842"/>
      <c r="J55" s="842"/>
      <c r="K55" s="842"/>
      <c r="L55" s="842"/>
      <c r="M55" s="842"/>
      <c r="N55" s="842"/>
      <c r="O55" s="844"/>
      <c r="P55" s="844"/>
      <c r="Q55" s="178" t="str">
        <f>IF(QUOTE_FilledByCustomer,"DISC010","")</f>
        <v/>
      </c>
      <c r="R55" s="179" t="str">
        <f>IFERROR(IF(AND(FIND("DISC",LEFT(Q55,4)),ISNUMBER(_xlfn.NUMBERVALUE(RIGHT(Q55,3)))),
(SUM(R24:R54)+SUM(AK24:AK54))*_xlfn.NUMBERVALUE(RIGHT(Q55,3)/-1000),
0),"")</f>
        <v/>
      </c>
      <c r="T55" s="85"/>
      <c r="U55" s="114"/>
      <c r="V55" s="87"/>
      <c r="W55" s="87"/>
      <c r="X55" s="115"/>
      <c r="Y55" s="842"/>
      <c r="Z55" s="842"/>
      <c r="AA55" s="842"/>
      <c r="AB55" s="842"/>
      <c r="AC55" s="842"/>
      <c r="AD55" s="842"/>
      <c r="AE55" s="842"/>
      <c r="AF55" s="842"/>
      <c r="AG55" s="842"/>
      <c r="AH55" s="844"/>
      <c r="AI55" s="844"/>
      <c r="AJ55" s="178"/>
      <c r="AK55" s="179"/>
    </row>
    <row r="56" spans="1:37" ht="5.75" customHeight="1" x14ac:dyDescent="0.2">
      <c r="O56" s="47"/>
      <c r="P56" s="90"/>
      <c r="Q56" s="91"/>
      <c r="R56" s="92"/>
      <c r="T56" s="46"/>
      <c r="U56" s="46"/>
      <c r="V56" s="46"/>
      <c r="W56" s="46"/>
      <c r="X56" s="46"/>
      <c r="Y56" s="46"/>
      <c r="Z56" s="46"/>
      <c r="AA56" s="46"/>
      <c r="AB56" s="46"/>
      <c r="AC56" s="46"/>
      <c r="AD56" s="46"/>
      <c r="AE56" s="46"/>
      <c r="AF56" s="46"/>
      <c r="AG56" s="46"/>
      <c r="AH56" s="47"/>
      <c r="AI56" s="90"/>
      <c r="AJ56" s="91"/>
      <c r="AK56" s="92"/>
    </row>
    <row r="57" spans="1:37" x14ac:dyDescent="0.2">
      <c r="B57" s="77"/>
      <c r="C57" s="77"/>
      <c r="D57" s="77"/>
      <c r="E57" s="77"/>
      <c r="F57" s="77"/>
      <c r="G57" s="78"/>
      <c r="H57" s="79"/>
      <c r="I57" s="79"/>
      <c r="J57" s="79"/>
      <c r="K57" s="79"/>
      <c r="L57" s="79"/>
      <c r="M57" s="79"/>
      <c r="N57" s="79"/>
      <c r="O57" s="47"/>
      <c r="P57" s="88" t="str">
        <f>IF(Francais,"Sous-total","Subtotal")</f>
        <v>Sous-total</v>
      </c>
      <c r="Q57" s="58"/>
      <c r="R57" s="93">
        <f>SUM(R24:R55)+IF(NOT(QUOTE_Split_SoftwareHardware),SUM(AK24:AK55),0)</f>
        <v>0</v>
      </c>
      <c r="T57" s="46"/>
      <c r="U57" s="77"/>
      <c r="V57" s="77"/>
      <c r="W57" s="77"/>
      <c r="X57" s="77"/>
      <c r="Y57" s="77"/>
      <c r="Z57" s="78"/>
      <c r="AA57" s="79"/>
      <c r="AB57" s="79"/>
      <c r="AC57" s="79"/>
      <c r="AD57" s="79"/>
      <c r="AE57" s="79"/>
      <c r="AF57" s="79"/>
      <c r="AG57" s="79"/>
      <c r="AH57" s="47"/>
      <c r="AI57" s="88" t="str">
        <f>IF(Francais,"Sous-total","Subtotal")</f>
        <v>Sous-total</v>
      </c>
      <c r="AJ57" s="58"/>
      <c r="AK57" s="93">
        <f>SUM(AK24:AK55)</f>
        <v>0</v>
      </c>
    </row>
    <row r="58" spans="1:37" x14ac:dyDescent="0.2">
      <c r="B58" s="52"/>
      <c r="C58" s="52"/>
      <c r="D58" s="52"/>
      <c r="M58" s="47"/>
      <c r="O58" s="47"/>
      <c r="P58" s="88" t="str">
        <f>IF(Francais,"Frais de port","Shipping")</f>
        <v>Frais de port</v>
      </c>
      <c r="Q58" s="58"/>
      <c r="R58" s="95" t="str">
        <f>QUOTE_Shipping</f>
        <v>À déterminer</v>
      </c>
      <c r="T58" s="46"/>
      <c r="U58" s="52"/>
      <c r="V58" s="52"/>
      <c r="W58" s="52"/>
      <c r="X58" s="46"/>
      <c r="Y58" s="46"/>
      <c r="Z58" s="46"/>
      <c r="AA58" s="46"/>
      <c r="AB58" s="46"/>
      <c r="AC58" s="46"/>
      <c r="AD58" s="46"/>
      <c r="AE58" s="46"/>
      <c r="AF58" s="47"/>
      <c r="AG58" s="46"/>
      <c r="AH58" s="47"/>
      <c r="AI58" s="88" t="str">
        <f>IF(Francais,"Frais de port","Shipping")</f>
        <v>Frais de port</v>
      </c>
      <c r="AJ58" s="58"/>
      <c r="AK58" s="95" t="str">
        <f>QUOTE_Shipping</f>
        <v>À déterminer</v>
      </c>
    </row>
    <row r="59" spans="1:37" x14ac:dyDescent="0.2">
      <c r="M59" s="47"/>
      <c r="O59" s="47"/>
      <c r="P59" s="94" t="str">
        <f>IF(Francais,"TPS","GST") &amp; IF(R59&gt;0," (#130801764)"," N/A")</f>
        <v>TPS N/A</v>
      </c>
      <c r="Q59" s="62"/>
      <c r="R59" s="95">
        <f>(R57+IF(ISNUMBER(R58),R58,0))*
IFERROR(INDEX(TableLists[Column6],MATCH(HOME_Province_Ship,TableLists[Column5],0)),0)</f>
        <v>0</v>
      </c>
      <c r="T59" s="46"/>
      <c r="U59" s="46"/>
      <c r="V59" s="46"/>
      <c r="W59" s="46"/>
      <c r="X59" s="46"/>
      <c r="Y59" s="46"/>
      <c r="Z59" s="46"/>
      <c r="AA59" s="46"/>
      <c r="AB59" s="46"/>
      <c r="AC59" s="46"/>
      <c r="AD59" s="46"/>
      <c r="AE59" s="46"/>
      <c r="AF59" s="47"/>
      <c r="AG59" s="46"/>
      <c r="AH59" s="47"/>
      <c r="AI59" s="94" t="str">
        <f>IF(AK59&gt;0,"GST (#130801764)","GST N/A")</f>
        <v>GST N/A</v>
      </c>
      <c r="AJ59" s="62"/>
      <c r="AK59" s="95">
        <f>(AK57+IF(ISNUMBER(AK58),AK58,0))*
IFERROR(INDEX(TableLists[Column6],MATCH(HOME_Province_Ship,TableLists[Column5],0)),0)</f>
        <v>0</v>
      </c>
    </row>
    <row r="60" spans="1:37" ht="11" customHeight="1" x14ac:dyDescent="0.2">
      <c r="M60" s="47"/>
      <c r="O60" s="47"/>
      <c r="P60" s="94" t="str">
        <f>IF(IFERROR(MATCH(HOME_Province,{"QC";"PQ"},0),0)&gt;0,IF(Francais,"TVQ","QST"),IF(Francais,"TVH","HST")) &amp; IF(R60&gt;0," (#1011238609)"," N/A")</f>
        <v>TVH N/A</v>
      </c>
      <c r="Q60" s="62"/>
      <c r="R60" s="95">
        <f>(R57+IF(ISNUMBER(R58),R58,0))*
IFERROR(INDEX(TableLists[Column7],MATCH(HOME_Province_Ship,TableLists[Column5],0)),0)</f>
        <v>0</v>
      </c>
      <c r="T60" s="46"/>
      <c r="U60" s="46"/>
      <c r="V60" s="46"/>
      <c r="W60" s="46"/>
      <c r="X60" s="46"/>
      <c r="Y60" s="46"/>
      <c r="Z60" s="46"/>
      <c r="AA60" s="46"/>
      <c r="AB60" s="46"/>
      <c r="AC60" s="46"/>
      <c r="AD60" s="46"/>
      <c r="AE60" s="46"/>
      <c r="AF60" s="47"/>
      <c r="AG60" s="46"/>
      <c r="AH60" s="47"/>
      <c r="AI60" s="94" t="str">
        <f>IF(IFERROR(MATCH(HOME_Province,{"QC";"PQ"},0),0)&gt;0,IF(Francais,"TVQ","QST"),IF(Francais,"TVH","HST")) &amp; IF(AK60&gt;0," (#1011238609)"," N/A")</f>
        <v>TVH N/A</v>
      </c>
      <c r="AJ60" s="62"/>
      <c r="AK60" s="95">
        <f>(AK57+IF(ISNUMBER(AK58),AK58,0))*
IFERROR(INDEX(TableLists[Column7],MATCH(HOME_Province_Ship,TableLists[Column5],0)),0)</f>
        <v>0</v>
      </c>
    </row>
    <row r="61" spans="1:37" x14ac:dyDescent="0.2">
      <c r="B61" s="502" t="str">
        <f>IF(Francais,"Informations pour Virement Bancaire","Bank Information for Wire Transfer")</f>
        <v>Informations pour Virement Bancaire</v>
      </c>
      <c r="C61" s="80"/>
      <c r="D61" s="80"/>
      <c r="E61" s="79"/>
      <c r="F61" s="79"/>
      <c r="G61" s="79"/>
      <c r="H61" s="79"/>
      <c r="I61" s="79"/>
      <c r="J61" s="79"/>
      <c r="K61" s="79"/>
      <c r="L61" s="79"/>
      <c r="M61" s="79"/>
      <c r="N61" s="79"/>
      <c r="O61" s="47"/>
      <c r="P61" s="96" t="s">
        <v>18</v>
      </c>
      <c r="Q61" s="59"/>
      <c r="R61" s="97">
        <f>SUM(R57:R60)</f>
        <v>0</v>
      </c>
      <c r="T61" s="46"/>
      <c r="U61" s="502" t="str">
        <f>IF(Francais,"Informations pour Virement Bancaire","Bank Information for Wire Transfer")</f>
        <v>Informations pour Virement Bancaire</v>
      </c>
      <c r="V61" s="80"/>
      <c r="W61" s="80"/>
      <c r="X61" s="79"/>
      <c r="Y61" s="79"/>
      <c r="Z61" s="79"/>
      <c r="AA61" s="79"/>
      <c r="AB61" s="79"/>
      <c r="AC61" s="79"/>
      <c r="AD61" s="79"/>
      <c r="AE61" s="79"/>
      <c r="AF61" s="79"/>
      <c r="AG61" s="79"/>
      <c r="AH61" s="47"/>
      <c r="AI61" s="96" t="s">
        <v>18</v>
      </c>
      <c r="AJ61" s="59"/>
      <c r="AK61" s="97">
        <f>SUM(AK57:AK60)</f>
        <v>0</v>
      </c>
    </row>
    <row r="62" spans="1:37" x14ac:dyDescent="0.2">
      <c r="B62" s="112"/>
      <c r="C62" s="112"/>
      <c r="D62" s="112"/>
      <c r="E62" s="112"/>
      <c r="F62" s="112"/>
      <c r="G62" s="112"/>
      <c r="H62" s="112"/>
      <c r="I62" s="112"/>
      <c r="J62" s="112"/>
      <c r="K62" s="112"/>
      <c r="L62" s="112"/>
      <c r="M62" s="112"/>
      <c r="O62" s="47"/>
      <c r="P62" s="85"/>
      <c r="Q62" s="86"/>
      <c r="R62" s="98"/>
      <c r="T62" s="46"/>
      <c r="U62" s="51"/>
      <c r="V62" s="51"/>
      <c r="W62" s="51"/>
      <c r="X62" s="51"/>
      <c r="Y62" s="51"/>
      <c r="Z62" s="51"/>
      <c r="AA62" s="51"/>
      <c r="AB62" s="51"/>
      <c r="AC62" s="51"/>
      <c r="AD62" s="51"/>
      <c r="AE62" s="51"/>
      <c r="AF62" s="51"/>
      <c r="AG62" s="46"/>
      <c r="AH62" s="47"/>
      <c r="AI62" s="85"/>
      <c r="AJ62" s="86"/>
      <c r="AK62" s="98" t="str">
        <f>IF(IndexCurrency=3,"USD",IF(IndexCurrency=2,"Euro",IF(Francais,"Dollars Canadiens","Canadian Dollars")))</f>
        <v>USD</v>
      </c>
    </row>
    <row r="63" spans="1:37" x14ac:dyDescent="0.2">
      <c r="B63" s="112"/>
      <c r="C63" s="112"/>
      <c r="D63" s="112"/>
      <c r="E63" s="112"/>
      <c r="F63" s="112"/>
      <c r="G63" s="112"/>
      <c r="H63" s="231"/>
      <c r="I63" s="112"/>
      <c r="J63" s="112"/>
      <c r="K63" s="112"/>
      <c r="L63" s="112"/>
      <c r="M63" s="112"/>
      <c r="N63" s="843" t="str">
        <f>IF(Francais,"Voir nos conditions de ventes (page suivante)","See Sales Terms &amp; Conditions next page")</f>
        <v>Voir nos conditions de ventes (page suivante)</v>
      </c>
      <c r="O63" s="843"/>
      <c r="P63" s="843"/>
      <c r="Q63" s="843"/>
      <c r="R63" s="843"/>
      <c r="T63" s="46"/>
      <c r="U63" s="51"/>
      <c r="V63" s="51"/>
      <c r="W63" s="51"/>
      <c r="X63" s="51"/>
      <c r="Y63" s="51"/>
      <c r="Z63" s="51"/>
      <c r="AA63" s="51"/>
      <c r="AB63" s="51"/>
      <c r="AC63" s="51"/>
      <c r="AD63" s="51"/>
      <c r="AE63" s="51"/>
      <c r="AF63" s="51"/>
      <c r="AG63" s="843" t="str">
        <f>N63</f>
        <v>Voir nos conditions de ventes (page suivante)</v>
      </c>
      <c r="AH63" s="843"/>
      <c r="AI63" s="843"/>
      <c r="AJ63" s="843"/>
      <c r="AK63" s="843"/>
    </row>
    <row r="64" spans="1:37" x14ac:dyDescent="0.2">
      <c r="B64" s="113"/>
      <c r="C64" s="113"/>
      <c r="D64" s="113"/>
      <c r="E64" s="113"/>
      <c r="F64" s="113"/>
      <c r="G64" s="113"/>
      <c r="H64" s="113"/>
      <c r="I64" s="113"/>
      <c r="J64" s="113"/>
      <c r="N64" s="843"/>
      <c r="O64" s="843"/>
      <c r="P64" s="843"/>
      <c r="Q64" s="843"/>
      <c r="R64" s="843"/>
      <c r="T64" s="46"/>
      <c r="U64" s="49"/>
      <c r="V64" s="49"/>
      <c r="W64" s="49"/>
      <c r="X64" s="49"/>
      <c r="Y64" s="49"/>
      <c r="Z64" s="49"/>
      <c r="AA64" s="49"/>
      <c r="AB64" s="49"/>
      <c r="AC64" s="49"/>
      <c r="AD64" s="46"/>
      <c r="AE64" s="46"/>
      <c r="AF64" s="46"/>
      <c r="AG64" s="843"/>
      <c r="AH64" s="843"/>
      <c r="AI64" s="843"/>
      <c r="AJ64" s="843"/>
      <c r="AK64" s="843"/>
    </row>
    <row r="65" spans="1:38" x14ac:dyDescent="0.2">
      <c r="J65" s="236" t="str">
        <f>IF(Francais,"Préparée par","Issued by")</f>
        <v>Préparée par</v>
      </c>
      <c r="K65" s="13" t="str">
        <f>Quote!J65</f>
        <v>Nicolas Lachance</v>
      </c>
      <c r="N65" s="750" t="s">
        <v>778</v>
      </c>
      <c r="P65" s="13"/>
      <c r="Q65" s="234"/>
      <c r="R65" s="71" t="str">
        <f>"Page 1 " &amp; IF(Francais,"de ","of ") &amp; IF(ROWS(CInv!$X$24:$X$54)&gt;COUNTBLANK(CInv!$X$24:$X$54),IF(NOT(QUOTE_Split_SoftwareHardware),2,1),1)</f>
        <v>Page 1 de 1</v>
      </c>
      <c r="T65" s="46"/>
      <c r="U65" s="46"/>
      <c r="V65" s="46"/>
      <c r="W65" s="46"/>
      <c r="X65" s="46"/>
      <c r="Y65" s="46"/>
      <c r="Z65" s="46"/>
      <c r="AA65" s="46"/>
      <c r="AB65" s="46"/>
      <c r="AC65" s="236" t="str">
        <f>IF(Francais,"Préparée par","Issued by")</f>
        <v>Préparée par</v>
      </c>
      <c r="AD65" s="13" t="s">
        <v>753</v>
      </c>
      <c r="AE65" s="46"/>
      <c r="AF65" s="46"/>
      <c r="AG65" s="750" t="s">
        <v>778</v>
      </c>
      <c r="AH65" s="46"/>
      <c r="AI65" s="13"/>
      <c r="AJ65" s="46"/>
      <c r="AK65" s="99" t="str">
        <f>SUBSTITUTE("Page 2 " &amp; IF(Francais,"de ","of ") &amp; "2","2",IF(NOT(QUOTE_Split_SoftwareHardware),"2","1"))</f>
        <v>Page 2 de 2</v>
      </c>
    </row>
    <row r="66" spans="1:38" ht="2.75" customHeight="1" x14ac:dyDescent="0.2">
      <c r="A66" s="86"/>
      <c r="B66" s="86"/>
      <c r="C66" s="86"/>
      <c r="D66" s="86"/>
      <c r="E66" s="86"/>
      <c r="F66" s="86"/>
      <c r="G66" s="86"/>
      <c r="H66" s="86"/>
      <c r="I66" s="86"/>
      <c r="J66" s="86"/>
      <c r="K66" s="86"/>
      <c r="L66" s="86"/>
      <c r="M66" s="86"/>
      <c r="N66" s="86"/>
      <c r="O66" s="86"/>
      <c r="P66" s="86"/>
      <c r="Q66" s="86"/>
      <c r="R66" s="86"/>
      <c r="S66" s="46"/>
      <c r="T66" s="86"/>
      <c r="U66" s="86"/>
      <c r="V66" s="86"/>
      <c r="W66" s="86"/>
      <c r="X66" s="86"/>
      <c r="Y66" s="86"/>
      <c r="Z66" s="86"/>
      <c r="AA66" s="86"/>
      <c r="AB66" s="86"/>
      <c r="AC66" s="86"/>
      <c r="AD66" s="86"/>
      <c r="AE66" s="86"/>
      <c r="AF66" s="86"/>
      <c r="AG66" s="86"/>
      <c r="AH66" s="86"/>
      <c r="AI66" s="86"/>
      <c r="AJ66" s="86"/>
      <c r="AK66" s="86"/>
      <c r="AL66" s="46"/>
    </row>
    <row r="67" spans="1:38" x14ac:dyDescent="0.2">
      <c r="B67" s="238" t="e">
        <f ca="1">MID(CELL("filename",A1),SEARCH("[",CELL("filename",A1))+1, SEARCH("]",CELL("filename",A1))-SEARCH("[",CELL("filename",A1))-1)&amp; " " &amp; INDEX({"Can";"Eur";"US"},IndexCurrency) &amp; "          " &amp;
IF(IndexCurrency=3,TauxUS &amp; "   " &amp; TEXT(1/TauxUS,"0.00"),IF(IndexCurrency=2,TauxEuro &amp; "   " &amp; TEXT(1/TauxEuro,"0.00"),"")) &amp;
"          " &amp; IFERROR(SHIP_Country_Abrev,"")</f>
        <v>#REF!</v>
      </c>
      <c r="Q67" s="760" t="str">
        <f xml:space="preserve"> IF(QUOTE_Split_SoftwareHardware,IF(Francais,"Total pour les deux factures: ","Total for the two invoices: "),"")</f>
        <v/>
      </c>
      <c r="R67" s="762" t="str">
        <f xml:space="preserve"> IF(QUOTE_Split_SoftwareHardware,SUM(R61,AK61),"")</f>
        <v/>
      </c>
      <c r="T67" s="46"/>
      <c r="U67" s="46"/>
      <c r="V67" s="46"/>
      <c r="W67" s="46"/>
      <c r="X67" s="46"/>
      <c r="Y67" s="46"/>
      <c r="Z67" s="46"/>
      <c r="AA67" s="46"/>
      <c r="AB67" s="46"/>
      <c r="AC67" s="46"/>
      <c r="AD67" s="46"/>
      <c r="AE67" s="46"/>
      <c r="AF67" s="46"/>
      <c r="AG67" s="46"/>
      <c r="AH67" s="46"/>
      <c r="AI67" s="46"/>
      <c r="AJ67" s="46"/>
      <c r="AK67" s="46"/>
    </row>
    <row r="68" spans="1:38" x14ac:dyDescent="0.2">
      <c r="A68"/>
      <c r="B68"/>
      <c r="C68"/>
      <c r="D68"/>
      <c r="E68"/>
      <c r="F68"/>
      <c r="G68"/>
      <c r="H68"/>
      <c r="I68"/>
      <c r="J68"/>
      <c r="K68"/>
      <c r="L68"/>
      <c r="M68"/>
      <c r="N68"/>
      <c r="O68"/>
      <c r="P68"/>
      <c r="Q68"/>
      <c r="T68" s="46"/>
      <c r="U68" s="46"/>
      <c r="V68" s="46"/>
      <c r="W68" s="46"/>
      <c r="X68" s="46"/>
      <c r="Y68" s="46"/>
      <c r="Z68" s="46"/>
      <c r="AA68" s="46"/>
      <c r="AB68" s="46"/>
      <c r="AC68" s="46"/>
      <c r="AD68" s="46"/>
      <c r="AE68" s="46"/>
      <c r="AF68" s="46"/>
      <c r="AG68" s="46"/>
      <c r="AH68" s="46"/>
      <c r="AI68" s="46"/>
      <c r="AJ68" s="46"/>
      <c r="AK68" s="46"/>
    </row>
    <row r="69" spans="1:38" x14ac:dyDescent="0.2">
      <c r="A69"/>
      <c r="B69"/>
      <c r="C69"/>
      <c r="D69"/>
      <c r="E69"/>
      <c r="F69"/>
      <c r="G69"/>
      <c r="H69"/>
      <c r="I69"/>
      <c r="J69"/>
      <c r="K69"/>
      <c r="L69"/>
      <c r="M69"/>
      <c r="N69"/>
      <c r="O69"/>
      <c r="P69"/>
      <c r="Q69"/>
      <c r="T69" s="46"/>
      <c r="U69" s="46"/>
      <c r="V69" s="46"/>
      <c r="W69" s="46"/>
      <c r="X69" s="46"/>
      <c r="Y69" s="46"/>
      <c r="Z69" s="46"/>
      <c r="AA69" s="46"/>
      <c r="AB69" s="46"/>
      <c r="AC69" s="46"/>
      <c r="AD69" s="46"/>
      <c r="AE69" s="46"/>
      <c r="AF69" s="46"/>
      <c r="AG69" s="46"/>
      <c r="AH69" s="46"/>
      <c r="AI69" s="46"/>
      <c r="AJ69" s="46"/>
      <c r="AK69" s="46"/>
    </row>
    <row r="70" spans="1:38" x14ac:dyDescent="0.2">
      <c r="A70"/>
      <c r="B70"/>
      <c r="C70"/>
      <c r="D70"/>
      <c r="E70"/>
      <c r="F70"/>
      <c r="G70"/>
      <c r="H70"/>
      <c r="I70"/>
      <c r="J70"/>
      <c r="K70"/>
      <c r="L70"/>
      <c r="M70"/>
      <c r="N70"/>
      <c r="O70"/>
      <c r="P70"/>
      <c r="Q70"/>
      <c r="T70" s="46"/>
      <c r="U70" s="46"/>
      <c r="V70" s="46"/>
      <c r="W70" s="46"/>
      <c r="X70" s="46"/>
      <c r="Y70" s="46"/>
      <c r="Z70" s="46"/>
      <c r="AA70" s="46"/>
      <c r="AB70" s="46"/>
      <c r="AC70" s="46"/>
      <c r="AD70" s="46"/>
      <c r="AE70" s="46"/>
      <c r="AF70" s="46"/>
      <c r="AG70" s="46"/>
      <c r="AH70" s="46"/>
      <c r="AI70" s="46"/>
      <c r="AJ70" s="46"/>
      <c r="AK70" s="46"/>
    </row>
    <row r="71" spans="1:38" x14ac:dyDescent="0.2">
      <c r="A71"/>
      <c r="B71"/>
      <c r="C71"/>
      <c r="D71"/>
      <c r="E71"/>
      <c r="F71"/>
      <c r="G71"/>
      <c r="H71"/>
      <c r="I71"/>
      <c r="J71"/>
      <c r="K71"/>
      <c r="L71"/>
      <c r="M71"/>
      <c r="N71"/>
      <c r="O71"/>
      <c r="P71"/>
      <c r="Q71"/>
      <c r="R71"/>
    </row>
    <row r="72" spans="1:38" x14ac:dyDescent="0.2">
      <c r="A72"/>
      <c r="B72"/>
      <c r="C72"/>
      <c r="D72"/>
      <c r="E72"/>
      <c r="F72"/>
      <c r="G72"/>
      <c r="H72"/>
      <c r="I72"/>
      <c r="J72"/>
      <c r="K72"/>
      <c r="L72"/>
      <c r="M72"/>
      <c r="N72"/>
      <c r="O72"/>
      <c r="P72"/>
      <c r="Q72"/>
      <c r="R72"/>
    </row>
    <row r="73" spans="1:38" x14ac:dyDescent="0.2">
      <c r="A73"/>
      <c r="B73"/>
      <c r="C73"/>
      <c r="D73"/>
      <c r="E73"/>
      <c r="F73"/>
      <c r="G73"/>
      <c r="H73"/>
      <c r="I73"/>
      <c r="J73"/>
      <c r="K73"/>
      <c r="L73"/>
      <c r="M73"/>
      <c r="N73"/>
      <c r="O73"/>
      <c r="P73"/>
      <c r="Q73"/>
      <c r="R73"/>
    </row>
    <row r="74" spans="1:38" x14ac:dyDescent="0.2">
      <c r="A74"/>
      <c r="B74"/>
      <c r="C74"/>
      <c r="D74"/>
      <c r="E74"/>
      <c r="F74"/>
      <c r="G74"/>
      <c r="H74"/>
      <c r="I74"/>
      <c r="J74"/>
      <c r="K74"/>
      <c r="L74"/>
      <c r="M74"/>
      <c r="N74"/>
      <c r="O74"/>
      <c r="P74"/>
      <c r="Q74"/>
      <c r="R74"/>
    </row>
    <row r="75" spans="1:38" x14ac:dyDescent="0.2">
      <c r="A75"/>
      <c r="B75"/>
      <c r="C75"/>
      <c r="D75"/>
      <c r="E75"/>
      <c r="F75"/>
      <c r="G75"/>
      <c r="H75"/>
      <c r="I75"/>
      <c r="J75"/>
      <c r="K75"/>
      <c r="L75"/>
      <c r="M75"/>
      <c r="N75"/>
      <c r="O75"/>
      <c r="P75"/>
      <c r="Q75"/>
      <c r="R75"/>
    </row>
    <row r="76" spans="1:38" x14ac:dyDescent="0.2">
      <c r="A76"/>
      <c r="B76"/>
      <c r="C76"/>
      <c r="D76"/>
      <c r="E76"/>
      <c r="F76"/>
      <c r="G76"/>
      <c r="H76"/>
      <c r="I76"/>
      <c r="J76"/>
      <c r="K76"/>
      <c r="L76"/>
      <c r="M76"/>
      <c r="N76"/>
      <c r="O76"/>
      <c r="P76"/>
      <c r="Q76"/>
      <c r="R76"/>
    </row>
    <row r="77" spans="1:38" x14ac:dyDescent="0.2">
      <c r="A77"/>
      <c r="B77"/>
      <c r="C77"/>
      <c r="D77"/>
      <c r="E77"/>
      <c r="F77"/>
      <c r="G77"/>
      <c r="H77"/>
      <c r="I77"/>
      <c r="J77"/>
      <c r="K77"/>
      <c r="L77"/>
      <c r="M77"/>
      <c r="N77"/>
      <c r="O77"/>
      <c r="P77"/>
      <c r="Q77"/>
      <c r="R77"/>
    </row>
    <row r="78" spans="1:38" x14ac:dyDescent="0.2">
      <c r="A78"/>
      <c r="B78"/>
      <c r="C78"/>
      <c r="D78"/>
      <c r="E78"/>
      <c r="F78"/>
      <c r="G78"/>
      <c r="H78"/>
      <c r="I78"/>
      <c r="J78"/>
      <c r="K78"/>
      <c r="L78"/>
      <c r="M78"/>
      <c r="N78"/>
      <c r="O78"/>
      <c r="P78"/>
      <c r="Q78"/>
      <c r="R78"/>
    </row>
    <row r="79" spans="1:38" ht="15.75" customHeight="1" x14ac:dyDescent="0.2">
      <c r="A79"/>
      <c r="B79"/>
      <c r="C79"/>
      <c r="D79"/>
      <c r="E79"/>
      <c r="F79"/>
      <c r="G79"/>
      <c r="H79"/>
      <c r="I79"/>
      <c r="J79"/>
      <c r="K79"/>
      <c r="L79"/>
      <c r="M79"/>
      <c r="N79"/>
      <c r="O79"/>
      <c r="P79"/>
      <c r="Q79"/>
      <c r="R79"/>
    </row>
    <row r="80" spans="1:38" ht="15.75" customHeight="1" x14ac:dyDescent="0.2">
      <c r="A80"/>
      <c r="B80"/>
      <c r="C80"/>
      <c r="D80"/>
      <c r="E80"/>
      <c r="F80"/>
      <c r="G80"/>
      <c r="H80"/>
      <c r="I80"/>
      <c r="J80"/>
      <c r="K80"/>
      <c r="L80"/>
      <c r="M80"/>
      <c r="N80"/>
      <c r="O80"/>
      <c r="P80"/>
      <c r="Q80"/>
      <c r="R80"/>
    </row>
    <row r="81" customFormat="1" ht="15.75" customHeight="1" x14ac:dyDescent="0.2"/>
    <row r="82" customFormat="1" x14ac:dyDescent="0.2"/>
    <row r="83" customFormat="1" ht="15.75" customHeight="1" x14ac:dyDescent="0.2"/>
    <row r="84" customFormat="1" ht="15.75" customHeight="1" x14ac:dyDescent="0.2"/>
    <row r="85" customFormat="1" ht="15.75" customHeight="1" x14ac:dyDescent="0.2"/>
    <row r="86" customFormat="1" ht="15.75" customHeight="1" x14ac:dyDescent="0.2"/>
    <row r="87" customFormat="1" ht="15.75" customHeight="1" x14ac:dyDescent="0.2"/>
    <row r="88" customFormat="1" ht="15.75" customHeight="1" x14ac:dyDescent="0.2"/>
    <row r="89" customFormat="1" ht="15.75" customHeight="1" x14ac:dyDescent="0.2"/>
    <row r="90" customFormat="1" ht="15.75" customHeight="1" x14ac:dyDescent="0.2"/>
    <row r="91" customFormat="1" ht="15.75" customHeight="1" x14ac:dyDescent="0.2"/>
    <row r="92" customFormat="1" ht="15.75" customHeight="1" x14ac:dyDescent="0.2"/>
    <row r="93" customFormat="1" ht="15.75" customHeight="1" x14ac:dyDescent="0.2"/>
    <row r="94" customFormat="1" ht="15.75" customHeight="1" x14ac:dyDescent="0.2"/>
    <row r="95" customFormat="1" ht="15.75" customHeight="1" x14ac:dyDescent="0.2"/>
    <row r="96" customFormat="1" ht="15.75" customHeight="1" x14ac:dyDescent="0.2"/>
    <row r="97" customFormat="1" ht="15.75" customHeight="1" x14ac:dyDescent="0.2"/>
    <row r="98" customFormat="1" ht="15.75" customHeight="1" x14ac:dyDescent="0.2"/>
    <row r="99" customFormat="1" ht="15.75" customHeight="1" x14ac:dyDescent="0.2"/>
    <row r="100" customFormat="1" ht="15.75" customHeight="1" x14ac:dyDescent="0.2"/>
    <row r="101" customFormat="1" ht="15.75" customHeight="1" x14ac:dyDescent="0.2"/>
    <row r="102" customFormat="1" ht="15.75" customHeight="1" x14ac:dyDescent="0.2"/>
    <row r="103" customFormat="1" ht="15.75" customHeight="1" x14ac:dyDescent="0.2"/>
    <row r="104" customFormat="1" ht="15.75" customHeight="1" x14ac:dyDescent="0.2"/>
    <row r="105" customFormat="1" ht="15.75" customHeight="1" x14ac:dyDescent="0.2"/>
    <row r="106" customFormat="1" ht="15.75" customHeight="1" x14ac:dyDescent="0.2"/>
    <row r="107" customFormat="1" ht="15.75" customHeight="1" x14ac:dyDescent="0.2"/>
    <row r="108" customFormat="1" ht="15.75" customHeight="1" x14ac:dyDescent="0.2"/>
    <row r="109" customFormat="1" ht="15.75" customHeight="1" x14ac:dyDescent="0.2"/>
    <row r="110" customFormat="1" ht="15.75" customHeight="1" x14ac:dyDescent="0.2"/>
    <row r="111" customFormat="1" x14ac:dyDescent="0.2"/>
    <row r="112" customFormat="1" x14ac:dyDescent="0.2"/>
    <row r="113" spans="1:18" x14ac:dyDescent="0.2">
      <c r="A113"/>
      <c r="B113"/>
      <c r="C113"/>
      <c r="D113"/>
      <c r="E113"/>
      <c r="F113"/>
      <c r="G113"/>
      <c r="H113"/>
      <c r="I113"/>
      <c r="J113"/>
      <c r="K113"/>
      <c r="L113"/>
      <c r="M113"/>
      <c r="N113"/>
      <c r="O113"/>
      <c r="P113"/>
      <c r="Q113"/>
      <c r="R113"/>
    </row>
    <row r="114" spans="1:18" x14ac:dyDescent="0.2">
      <c r="A114"/>
      <c r="B114"/>
      <c r="C114"/>
      <c r="D114"/>
      <c r="E114"/>
      <c r="F114"/>
      <c r="G114"/>
      <c r="H114"/>
      <c r="I114"/>
      <c r="J114"/>
      <c r="K114"/>
      <c r="L114"/>
      <c r="M114"/>
      <c r="N114"/>
      <c r="O114"/>
      <c r="P114"/>
      <c r="Q114"/>
      <c r="R114"/>
    </row>
    <row r="115" spans="1:18" x14ac:dyDescent="0.2">
      <c r="A115"/>
      <c r="B115"/>
      <c r="C115"/>
      <c r="D115"/>
      <c r="E115"/>
      <c r="F115"/>
      <c r="G115"/>
      <c r="H115"/>
      <c r="I115"/>
      <c r="J115"/>
      <c r="K115"/>
      <c r="L115"/>
      <c r="M115"/>
      <c r="N115"/>
      <c r="O115"/>
      <c r="P115"/>
      <c r="Q115"/>
      <c r="R115"/>
    </row>
    <row r="116" spans="1:18" x14ac:dyDescent="0.2">
      <c r="R116"/>
    </row>
    <row r="117" spans="1:18" x14ac:dyDescent="0.2">
      <c r="R117"/>
    </row>
  </sheetData>
  <sheetProtection algorithmName="SHA-512" hashValue="ksZiT8DuY9hfJNHQSYj9ozW0bRW+X4B4DDlDGFMbfBj5zVyZu+7ygTMggKseQawpsqEXaol5vqZ/hS6z7UStkw==" saltValue="m2WBxAX+pRhVG1+89BWL2A==" spinCount="100000" sheet="1" objects="1" scenarios="1" selectLockedCells="1"/>
  <mergeCells count="222">
    <mergeCell ref="B9:G10"/>
    <mergeCell ref="I9:L10"/>
    <mergeCell ref="N9:R10"/>
    <mergeCell ref="M7:O7"/>
    <mergeCell ref="P7:R7"/>
    <mergeCell ref="X52:AG52"/>
    <mergeCell ref="AH52:AI52"/>
    <mergeCell ref="E53:N53"/>
    <mergeCell ref="O53:P53"/>
    <mergeCell ref="X53:AG53"/>
    <mergeCell ref="AH53:AI53"/>
    <mergeCell ref="E50:N50"/>
    <mergeCell ref="O50:P50"/>
    <mergeCell ref="X50:AG50"/>
    <mergeCell ref="AH50:AI50"/>
    <mergeCell ref="E51:N51"/>
    <mergeCell ref="O51:P51"/>
    <mergeCell ref="X51:AG51"/>
    <mergeCell ref="AH51:AI51"/>
    <mergeCell ref="E52:N52"/>
    <mergeCell ref="O52:P52"/>
    <mergeCell ref="X48:AG48"/>
    <mergeCell ref="AH48:AI48"/>
    <mergeCell ref="E49:N49"/>
    <mergeCell ref="AG63:AK64"/>
    <mergeCell ref="E54:N54"/>
    <mergeCell ref="O54:P54"/>
    <mergeCell ref="X54:AG54"/>
    <mergeCell ref="AH54:AI54"/>
    <mergeCell ref="F55:N55"/>
    <mergeCell ref="O55:P55"/>
    <mergeCell ref="Y55:AG55"/>
    <mergeCell ref="AH55:AI55"/>
    <mergeCell ref="N63:R64"/>
    <mergeCell ref="O49:P49"/>
    <mergeCell ref="X49:AG49"/>
    <mergeCell ref="AH49:AI49"/>
    <mergeCell ref="E46:N46"/>
    <mergeCell ref="O46:P46"/>
    <mergeCell ref="X46:AG46"/>
    <mergeCell ref="AH46:AI46"/>
    <mergeCell ref="E47:N47"/>
    <mergeCell ref="O47:P47"/>
    <mergeCell ref="X47:AG47"/>
    <mergeCell ref="AH47:AI47"/>
    <mergeCell ref="E48:N48"/>
    <mergeCell ref="O48:P48"/>
    <mergeCell ref="X44:AG44"/>
    <mergeCell ref="AH44:AI44"/>
    <mergeCell ref="E45:N45"/>
    <mergeCell ref="O45:P45"/>
    <mergeCell ref="X45:AG45"/>
    <mergeCell ref="AH45:AI45"/>
    <mergeCell ref="E42:N42"/>
    <mergeCell ref="O42:P42"/>
    <mergeCell ref="X42:AG42"/>
    <mergeCell ref="AH42:AI42"/>
    <mergeCell ref="E43:N43"/>
    <mergeCell ref="O43:P43"/>
    <mergeCell ref="X43:AG43"/>
    <mergeCell ref="AH43:AI43"/>
    <mergeCell ref="E44:N44"/>
    <mergeCell ref="O44:P44"/>
    <mergeCell ref="X40:AG40"/>
    <mergeCell ref="AH40:AI40"/>
    <mergeCell ref="E41:N41"/>
    <mergeCell ref="O41:P41"/>
    <mergeCell ref="X41:AG41"/>
    <mergeCell ref="AH41:AI41"/>
    <mergeCell ref="E38:N38"/>
    <mergeCell ref="O38:P38"/>
    <mergeCell ref="X38:AG38"/>
    <mergeCell ref="AH38:AI38"/>
    <mergeCell ref="E39:N39"/>
    <mergeCell ref="O39:P39"/>
    <mergeCell ref="X39:AG39"/>
    <mergeCell ref="AH39:AI39"/>
    <mergeCell ref="E40:N40"/>
    <mergeCell ref="O40:P40"/>
    <mergeCell ref="X36:AG36"/>
    <mergeCell ref="AH36:AI36"/>
    <mergeCell ref="E37:N37"/>
    <mergeCell ref="O37:P37"/>
    <mergeCell ref="X37:AG37"/>
    <mergeCell ref="AH37:AI37"/>
    <mergeCell ref="E34:N34"/>
    <mergeCell ref="O34:P34"/>
    <mergeCell ref="X34:AG34"/>
    <mergeCell ref="AH34:AI34"/>
    <mergeCell ref="E35:N35"/>
    <mergeCell ref="O35:P35"/>
    <mergeCell ref="X35:AG35"/>
    <mergeCell ref="AH35:AI35"/>
    <mergeCell ref="E36:N36"/>
    <mergeCell ref="O36:P36"/>
    <mergeCell ref="X32:AG32"/>
    <mergeCell ref="AH32:AI32"/>
    <mergeCell ref="E33:N33"/>
    <mergeCell ref="O33:P33"/>
    <mergeCell ref="X33:AG33"/>
    <mergeCell ref="AH33:AI33"/>
    <mergeCell ref="E30:N30"/>
    <mergeCell ref="O30:P30"/>
    <mergeCell ref="X30:AG30"/>
    <mergeCell ref="AH30:AI30"/>
    <mergeCell ref="E31:N31"/>
    <mergeCell ref="O31:P31"/>
    <mergeCell ref="X31:AG31"/>
    <mergeCell ref="AH31:AI31"/>
    <mergeCell ref="E32:N32"/>
    <mergeCell ref="O32:P32"/>
    <mergeCell ref="X28:AG28"/>
    <mergeCell ref="AH28:AI28"/>
    <mergeCell ref="E29:N29"/>
    <mergeCell ref="O29:P29"/>
    <mergeCell ref="X29:AG29"/>
    <mergeCell ref="AH29:AI29"/>
    <mergeCell ref="E26:N26"/>
    <mergeCell ref="O26:P26"/>
    <mergeCell ref="X26:AG26"/>
    <mergeCell ref="AH26:AI26"/>
    <mergeCell ref="E27:N27"/>
    <mergeCell ref="O27:P27"/>
    <mergeCell ref="X27:AG27"/>
    <mergeCell ref="AH27:AI27"/>
    <mergeCell ref="E28:N28"/>
    <mergeCell ref="O28:P28"/>
    <mergeCell ref="X24:AG24"/>
    <mergeCell ref="AH24:AI24"/>
    <mergeCell ref="E25:N25"/>
    <mergeCell ref="O25:P25"/>
    <mergeCell ref="X25:AG25"/>
    <mergeCell ref="AH25:AI25"/>
    <mergeCell ref="E22:F22"/>
    <mergeCell ref="O22:P22"/>
    <mergeCell ref="X22:Y22"/>
    <mergeCell ref="AH22:AI22"/>
    <mergeCell ref="E23:N23"/>
    <mergeCell ref="O23:P23"/>
    <mergeCell ref="X23:AG23"/>
    <mergeCell ref="AH23:AI23"/>
    <mergeCell ref="E24:N24"/>
    <mergeCell ref="O24:P24"/>
    <mergeCell ref="AG19:AI19"/>
    <mergeCell ref="N19:P19"/>
    <mergeCell ref="AG18:AI18"/>
    <mergeCell ref="AG14:AI14"/>
    <mergeCell ref="AJ14:AK14"/>
    <mergeCell ref="B17:G17"/>
    <mergeCell ref="I17:L17"/>
    <mergeCell ref="U17:Z17"/>
    <mergeCell ref="AB17:AE17"/>
    <mergeCell ref="AG15:AI15"/>
    <mergeCell ref="AJ15:AK16"/>
    <mergeCell ref="C18:G18"/>
    <mergeCell ref="J18:L18"/>
    <mergeCell ref="N15:P15"/>
    <mergeCell ref="Q15:R16"/>
    <mergeCell ref="V18:Z18"/>
    <mergeCell ref="AC18:AE18"/>
    <mergeCell ref="N18:P18"/>
    <mergeCell ref="AM15:AO15"/>
    <mergeCell ref="AP15:AQ15"/>
    <mergeCell ref="B16:G16"/>
    <mergeCell ref="I16:L16"/>
    <mergeCell ref="N14:P14"/>
    <mergeCell ref="Q14:R14"/>
    <mergeCell ref="U16:Z16"/>
    <mergeCell ref="AB16:AE16"/>
    <mergeCell ref="N17:P17"/>
    <mergeCell ref="AG17:AI17"/>
    <mergeCell ref="B14:G14"/>
    <mergeCell ref="I14:L14"/>
    <mergeCell ref="U14:Z14"/>
    <mergeCell ref="AB14:AE14"/>
    <mergeCell ref="B15:G15"/>
    <mergeCell ref="I15:L15"/>
    <mergeCell ref="U15:Z15"/>
    <mergeCell ref="AB15:AE15"/>
    <mergeCell ref="AG12:AI12"/>
    <mergeCell ref="AJ12:AK12"/>
    <mergeCell ref="B13:G13"/>
    <mergeCell ref="I13:L13"/>
    <mergeCell ref="N13:P13"/>
    <mergeCell ref="Q13:R13"/>
    <mergeCell ref="U13:Z13"/>
    <mergeCell ref="AB13:AE13"/>
    <mergeCell ref="AG13:AI13"/>
    <mergeCell ref="AJ13:AK13"/>
    <mergeCell ref="B12:G12"/>
    <mergeCell ref="I12:L12"/>
    <mergeCell ref="N12:P12"/>
    <mergeCell ref="Q12:R12"/>
    <mergeCell ref="U12:Z12"/>
    <mergeCell ref="AB12:AE12"/>
    <mergeCell ref="Q1:R1"/>
    <mergeCell ref="AJ1:AK1"/>
    <mergeCell ref="M2:P2"/>
    <mergeCell ref="Q2:R2"/>
    <mergeCell ref="AF2:AI2"/>
    <mergeCell ref="AJ2:AK2"/>
    <mergeCell ref="M5:P5"/>
    <mergeCell ref="Q5:R5"/>
    <mergeCell ref="AF5:AI5"/>
    <mergeCell ref="AJ5:AK5"/>
    <mergeCell ref="M3:P3"/>
    <mergeCell ref="Q3:R3"/>
    <mergeCell ref="AF3:AI3"/>
    <mergeCell ref="AJ3:AK3"/>
    <mergeCell ref="AF4:AI4"/>
    <mergeCell ref="AJ4:AK4"/>
    <mergeCell ref="M4:P4"/>
    <mergeCell ref="Q4:R4"/>
    <mergeCell ref="U9:Z10"/>
    <mergeCell ref="AB9:AE10"/>
    <mergeCell ref="AG9:AK10"/>
    <mergeCell ref="M6:P6"/>
    <mergeCell ref="Q6:R6"/>
    <mergeCell ref="AF6:AI6"/>
    <mergeCell ref="AJ6:AK6"/>
    <mergeCell ref="AF7:AH7"/>
    <mergeCell ref="AI7:AK7"/>
  </mergeCells>
  <conditionalFormatting sqref="AI56:AK62">
    <cfRule type="expression" dxfId="140" priority="1">
      <formula>IF(QUOTE_Split_SoftwareHardware,0,1)</formula>
    </cfRule>
  </conditionalFormatting>
  <hyperlinks>
    <hyperlink ref="N65" r:id="rId1" xr:uid="{6F038AC0-B8E3-4FBF-B21D-9BBE1FBE1EE0}"/>
    <hyperlink ref="AG65" r:id="rId2" xr:uid="{9629B238-AFF1-45D3-9CF6-9666584D8097}"/>
  </hyperlinks>
  <pageMargins left="0.23622047244094491" right="0.23622047244094491" top="0.31496062992125984" bottom="0.11811023622047245" header="0.31496062992125984" footer="0.70866141732283472"/>
  <pageSetup scale="99" orientation="portrait" horizontalDpi="1200" verticalDpi="1200" r:id="rId3"/>
  <colBreaks count="1" manualBreakCount="1">
    <brk id="19" max="1048575" man="1"/>
  </colBreaks>
  <drawing r:id="rId4"/>
  <legacyDrawing r:id="rId5"/>
  <mc:AlternateContent xmlns:mc="http://schemas.openxmlformats.org/markup-compatibility/2006">
    <mc:Choice Requires="x14">
      <controls>
        <mc:AlternateContent xmlns:mc="http://schemas.openxmlformats.org/markup-compatibility/2006">
          <mc:Choice Requires="x14">
            <control shapeId="923532" r:id="rId6" name="INV_ButtonGet">
              <controlPr defaultSize="0" print="0" autoFill="0" autoPict="0" macro="[0]!Button_DatePicker_QuoteInv">
                <anchor moveWithCells="1" sizeWithCells="1">
                  <from>
                    <xdr:col>15</xdr:col>
                    <xdr:colOff>63500</xdr:colOff>
                    <xdr:row>1</xdr:row>
                    <xdr:rowOff>25400</xdr:rowOff>
                  </from>
                  <to>
                    <xdr:col>16</xdr:col>
                    <xdr:colOff>0</xdr:colOff>
                    <xdr:row>2</xdr:row>
                    <xdr:rowOff>25400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theme="1" tint="0.34998626667073579"/>
  </sheetPr>
  <dimension ref="A1:AL67"/>
  <sheetViews>
    <sheetView showGridLines="0" zoomScaleNormal="100" workbookViewId="0">
      <selection activeCell="P7" sqref="P7:R7"/>
    </sheetView>
  </sheetViews>
  <sheetFormatPr baseColWidth="10" defaultColWidth="8.6640625" defaultRowHeight="16" x14ac:dyDescent="0.2"/>
  <cols>
    <col min="1" max="1" width="0.6640625" style="46" customWidth="1"/>
    <col min="2" max="4" width="3.5" style="46" customWidth="1"/>
    <col min="5" max="5" width="6.6640625" style="46" customWidth="1"/>
    <col min="6" max="6" width="3.5" style="46" customWidth="1"/>
    <col min="7" max="7" width="8.6640625" style="46" customWidth="1"/>
    <col min="8" max="8" width="1.1640625" style="46" customWidth="1"/>
    <col min="9" max="9" width="3.5" style="46" customWidth="1"/>
    <col min="10" max="10" width="11.1640625" style="46" customWidth="1"/>
    <col min="11" max="11" width="3.5" style="46" customWidth="1"/>
    <col min="12" max="12" width="11.1640625" style="46" customWidth="1"/>
    <col min="13" max="13" width="1.1640625" style="46" customWidth="1"/>
    <col min="14" max="14" width="7.6640625" style="46" customWidth="1"/>
    <col min="15" max="15" width="2.6640625" style="46" customWidth="1"/>
    <col min="16" max="16" width="5.1640625" style="46" customWidth="1"/>
    <col min="17" max="17" width="7.5" style="46" customWidth="1"/>
    <col min="18" max="18" width="9.5" style="46" customWidth="1"/>
    <col min="19" max="20" width="0.6640625" customWidth="1"/>
    <col min="21" max="23" width="3.5" customWidth="1"/>
    <col min="24" max="24" width="6.6640625" customWidth="1"/>
    <col min="25" max="25" width="3.5" customWidth="1"/>
    <col min="26" max="26" width="8.6640625" customWidth="1"/>
    <col min="27" max="27" width="1.1640625" customWidth="1"/>
    <col min="28" max="28" width="3.5" customWidth="1"/>
    <col min="29" max="29" width="11.1640625" customWidth="1"/>
    <col min="30" max="30" width="3.5" customWidth="1"/>
    <col min="31" max="31" width="11.1640625" customWidth="1"/>
    <col min="32" max="32" width="1.1640625" customWidth="1"/>
    <col min="33" max="33" width="7.6640625" customWidth="1"/>
    <col min="34" max="34" width="2.6640625" customWidth="1"/>
    <col min="35" max="35" width="5.1640625" customWidth="1"/>
    <col min="36" max="36" width="7.5" customWidth="1"/>
    <col min="37" max="37" width="9.5" customWidth="1"/>
    <col min="38" max="38" width="0.6640625" customWidth="1"/>
  </cols>
  <sheetData>
    <row r="1" spans="1:37" ht="20" x14ac:dyDescent="0.2">
      <c r="N1" s="48"/>
      <c r="P1" s="81" t="str">
        <f>IF(Francais,"# LISTE DE COLISAGE","PACKING LIST #")</f>
        <v># LISTE DE COLISAGE</v>
      </c>
      <c r="Q1" s="866" t="str">
        <f>IF(ISBLANK(Inv!$Q$1),"",Inv!$Q$1)</f>
        <v/>
      </c>
      <c r="R1" s="866"/>
      <c r="T1" s="46"/>
      <c r="U1" s="46"/>
      <c r="V1" s="46"/>
      <c r="W1" s="46"/>
      <c r="X1" s="46"/>
      <c r="Y1" s="46"/>
      <c r="Z1" s="46"/>
      <c r="AA1" s="46"/>
      <c r="AB1" s="46"/>
      <c r="AC1" s="46"/>
      <c r="AD1" s="46"/>
      <c r="AE1" s="46"/>
      <c r="AF1" s="46"/>
      <c r="AG1" s="48"/>
      <c r="AH1" s="46"/>
      <c r="AI1" s="81" t="str">
        <f>P1</f>
        <v># LISTE DE COLISAGE</v>
      </c>
      <c r="AJ1" s="866" t="str">
        <f>IF(ISBLANK(Inv!$AJ$1),"",Inv!$AJ$1)</f>
        <v/>
      </c>
      <c r="AK1" s="866"/>
    </row>
    <row r="2" spans="1:37" ht="12" customHeight="1" x14ac:dyDescent="0.2">
      <c r="M2" s="821" t="s">
        <v>16</v>
      </c>
      <c r="N2" s="821"/>
      <c r="O2" s="821"/>
      <c r="P2" s="821"/>
      <c r="Q2" s="856" t="str">
        <f>INV_Date</f>
        <v>4/7/2026</v>
      </c>
      <c r="R2" s="856"/>
      <c r="T2" s="46"/>
      <c r="U2" s="46"/>
      <c r="V2" s="46"/>
      <c r="W2" s="46"/>
      <c r="X2" s="46"/>
      <c r="Y2" s="46"/>
      <c r="Z2" s="46"/>
      <c r="AA2" s="46"/>
      <c r="AB2" s="46"/>
      <c r="AC2" s="46"/>
      <c r="AD2" s="46"/>
      <c r="AE2" s="46"/>
      <c r="AF2" s="821" t="str">
        <f>M2</f>
        <v>Date</v>
      </c>
      <c r="AG2" s="821"/>
      <c r="AH2" s="821"/>
      <c r="AI2" s="821"/>
      <c r="AJ2" s="856" t="str">
        <f>Q2</f>
        <v>4/7/2026</v>
      </c>
      <c r="AK2" s="856"/>
    </row>
    <row r="3" spans="1:37" ht="12" customHeight="1" x14ac:dyDescent="0.2">
      <c r="B3" s="53"/>
      <c r="C3" s="53"/>
      <c r="D3" s="53"/>
      <c r="J3" s="103"/>
      <c r="M3" s="858" t="str">
        <f>IF(Francais,"No. de repérage", "Tracking No.")</f>
        <v>No. de repérage</v>
      </c>
      <c r="N3" s="858"/>
      <c r="O3" s="858"/>
      <c r="P3" s="876"/>
      <c r="Q3" s="876"/>
      <c r="R3" s="876"/>
      <c r="T3" s="46"/>
      <c r="U3" s="53"/>
      <c r="V3" s="53"/>
      <c r="W3" s="53"/>
      <c r="X3" s="46"/>
      <c r="Y3" s="46"/>
      <c r="Z3" s="46"/>
      <c r="AA3" s="46"/>
      <c r="AB3" s="46"/>
      <c r="AC3" s="103"/>
      <c r="AD3" s="46"/>
      <c r="AE3" s="46"/>
      <c r="AF3" s="858" t="str">
        <f>M3</f>
        <v>No. de repérage</v>
      </c>
      <c r="AG3" s="858"/>
      <c r="AH3" s="858"/>
      <c r="AI3" s="875" t="str">
        <f>IF(ISBLANK(P3),"",P3)</f>
        <v/>
      </c>
      <c r="AJ3" s="875"/>
      <c r="AK3" s="875"/>
    </row>
    <row r="4" spans="1:37" ht="12" customHeight="1" x14ac:dyDescent="0.2">
      <c r="B4" s="54"/>
      <c r="C4" s="54"/>
      <c r="D4" s="54"/>
      <c r="J4" s="103"/>
      <c r="M4" s="821" t="str">
        <f>IF(Francais,"Terme","Payment Terms")</f>
        <v>Terme</v>
      </c>
      <c r="N4" s="821"/>
      <c r="O4" s="821"/>
      <c r="P4" s="821"/>
      <c r="Q4" s="859" t="str">
        <f>Quote!P4</f>
        <v>Payable d'avance</v>
      </c>
      <c r="R4" s="859"/>
      <c r="T4" s="46"/>
      <c r="U4" s="54"/>
      <c r="V4" s="54"/>
      <c r="W4" s="54"/>
      <c r="X4" s="46"/>
      <c r="Y4" s="46"/>
      <c r="Z4" s="46"/>
      <c r="AA4" s="46"/>
      <c r="AB4" s="46"/>
      <c r="AC4" s="103"/>
      <c r="AD4" s="46"/>
      <c r="AE4" s="46"/>
      <c r="AF4" s="821" t="str">
        <f>M4</f>
        <v>Terme</v>
      </c>
      <c r="AG4" s="821"/>
      <c r="AH4" s="821"/>
      <c r="AI4" s="821"/>
      <c r="AJ4" s="855" t="str">
        <f>Q4</f>
        <v>Payable d'avance</v>
      </c>
      <c r="AK4" s="855"/>
    </row>
    <row r="5" spans="1:37" ht="12" customHeight="1" x14ac:dyDescent="0.2">
      <c r="B5" s="54"/>
      <c r="C5" s="54"/>
      <c r="D5" s="54"/>
      <c r="M5" s="821" t="str">
        <f>IF(Francais,"# Client","Customer #")</f>
        <v># Client</v>
      </c>
      <c r="N5" s="821"/>
      <c r="O5" s="821"/>
      <c r="P5" s="821"/>
      <c r="Q5" s="858" t="str">
        <f>IF(ISBLANK(Quote!P5),"",Quote!P5)</f>
        <v/>
      </c>
      <c r="R5" s="858"/>
      <c r="T5" s="46"/>
      <c r="U5" s="54"/>
      <c r="V5" s="54"/>
      <c r="W5" s="54"/>
      <c r="X5" s="46"/>
      <c r="Y5" s="46"/>
      <c r="Z5" s="46"/>
      <c r="AA5" s="46"/>
      <c r="AB5" s="46"/>
      <c r="AD5" s="46"/>
      <c r="AE5" s="46"/>
      <c r="AF5" s="821" t="str">
        <f>M5</f>
        <v># Client</v>
      </c>
      <c r="AG5" s="821"/>
      <c r="AH5" s="821"/>
      <c r="AI5" s="821"/>
      <c r="AJ5" s="858" t="str">
        <f>IF(ISBLANK(Q5),"",Q5)</f>
        <v/>
      </c>
      <c r="AK5" s="858"/>
    </row>
    <row r="6" spans="1:37" ht="12" customHeight="1" x14ac:dyDescent="0.2">
      <c r="M6" s="821" t="str">
        <f>IF(Francais,"# PO","PO #")</f>
        <v># PO</v>
      </c>
      <c r="N6" s="821"/>
      <c r="O6" s="821"/>
      <c r="P6" s="821"/>
      <c r="Q6" s="858" t="str">
        <f>IF(ISBLANK(Inv!Q6),"",Inv!Q6)</f>
        <v/>
      </c>
      <c r="R6" s="858"/>
      <c r="T6" s="46"/>
      <c r="U6" s="46"/>
      <c r="V6" s="46"/>
      <c r="W6" s="46"/>
      <c r="X6" s="46"/>
      <c r="Y6" s="46"/>
      <c r="Z6" s="46"/>
      <c r="AA6" s="46"/>
      <c r="AB6" s="46"/>
      <c r="AC6" s="46"/>
      <c r="AD6" s="46"/>
      <c r="AE6" s="46"/>
      <c r="AF6" s="821" t="str">
        <f>IF(Francais,"# PO","PO #")</f>
        <v># PO</v>
      </c>
      <c r="AG6" s="821"/>
      <c r="AH6" s="821"/>
      <c r="AI6" s="821"/>
      <c r="AJ6" s="858" t="str">
        <f>IF(ISBLANK(Q6),"",Q6)</f>
        <v/>
      </c>
      <c r="AK6" s="858"/>
    </row>
    <row r="7" spans="1:37" ht="12" customHeight="1" x14ac:dyDescent="0.2">
      <c r="B7" s="55"/>
      <c r="C7" s="55"/>
      <c r="D7" s="55"/>
      <c r="M7" s="821" t="str">
        <f>IF(Francais,"Courriel Utilisateur:","End User Email:")</f>
        <v>Courriel Utilisateur:</v>
      </c>
      <c r="N7" s="821"/>
      <c r="O7" s="821"/>
      <c r="P7" s="834" t="str">
        <f>IF(ISBLANK(Home!$B$28),"",Home!$B$28)</f>
        <v/>
      </c>
      <c r="Q7" s="834"/>
      <c r="R7" s="834"/>
      <c r="T7" s="46"/>
      <c r="U7" s="55"/>
      <c r="V7" s="55"/>
      <c r="W7" s="55"/>
      <c r="X7" s="46"/>
      <c r="Y7" s="46"/>
      <c r="Z7" s="46"/>
      <c r="AA7" s="46"/>
      <c r="AB7" s="46"/>
      <c r="AC7" s="46"/>
      <c r="AD7" s="46"/>
      <c r="AE7" s="46"/>
      <c r="AF7" s="821" t="str">
        <f>IF(Francais,"Courriel Utilisateur:","End User Email:")</f>
        <v>Courriel Utilisateur:</v>
      </c>
      <c r="AG7" s="821"/>
      <c r="AH7" s="821"/>
      <c r="AI7" s="834" t="str">
        <f>IF(ISBLANK(P7),"",P7)</f>
        <v/>
      </c>
      <c r="AJ7" s="834"/>
      <c r="AK7" s="834"/>
    </row>
    <row r="8" spans="1:37" ht="3.5" customHeight="1" x14ac:dyDescent="0.2">
      <c r="T8" s="46"/>
      <c r="U8" s="46"/>
      <c r="V8" s="46"/>
      <c r="W8" s="46"/>
      <c r="X8" s="46"/>
      <c r="Y8" s="46"/>
      <c r="Z8" s="46"/>
      <c r="AA8" s="46"/>
      <c r="AB8" s="46"/>
      <c r="AC8" s="46"/>
      <c r="AD8" s="46"/>
      <c r="AE8" s="46"/>
      <c r="AF8" s="46"/>
      <c r="AG8" s="46"/>
      <c r="AH8" s="46"/>
      <c r="AI8" s="46"/>
      <c r="AJ8" s="46"/>
      <c r="AK8" s="46"/>
    </row>
    <row r="9" spans="1:37" s="3" customFormat="1" ht="3.5" customHeight="1" x14ac:dyDescent="0.15">
      <c r="A9" s="56"/>
      <c r="B9" s="828" t="str">
        <f>IF(Francais," FACTURATION:"," BILL TO:")</f>
        <v xml:space="preserve"> FACTURATION:</v>
      </c>
      <c r="C9" s="828"/>
      <c r="D9" s="828"/>
      <c r="E9" s="828"/>
      <c r="F9" s="828"/>
      <c r="G9" s="828"/>
      <c r="H9" s="122"/>
      <c r="I9" s="828" t="str">
        <f>IF(Francais," LIVRAISON:"," SHIP TO:")</f>
        <v xml:space="preserve"> LIVRAISON:</v>
      </c>
      <c r="J9" s="828"/>
      <c r="K9" s="828"/>
      <c r="L9" s="828"/>
      <c r="M9" s="116"/>
      <c r="N9" s="828" t="str">
        <f>IF(Francais," DÉTAILS D'EXPÉDITION:"," SHIPPING DETAILS:")</f>
        <v xml:space="preserve"> DÉTAILS D'EXPÉDITION:</v>
      </c>
      <c r="O9" s="828"/>
      <c r="P9" s="828"/>
      <c r="Q9" s="828"/>
      <c r="R9" s="828"/>
      <c r="T9" s="56"/>
      <c r="U9" s="828" t="str">
        <f>B9</f>
        <v xml:space="preserve"> FACTURATION:</v>
      </c>
      <c r="V9" s="828"/>
      <c r="W9" s="828"/>
      <c r="X9" s="828"/>
      <c r="Y9" s="828"/>
      <c r="Z9" s="828"/>
      <c r="AA9" s="122"/>
      <c r="AB9" s="828" t="str">
        <f>I9</f>
        <v xml:space="preserve"> LIVRAISON:</v>
      </c>
      <c r="AC9" s="828"/>
      <c r="AD9" s="828"/>
      <c r="AE9" s="828"/>
      <c r="AF9" s="116"/>
      <c r="AG9" s="828" t="str">
        <f>N9</f>
        <v xml:space="preserve"> DÉTAILS D'EXPÉDITION:</v>
      </c>
      <c r="AH9" s="828"/>
      <c r="AI9" s="828"/>
      <c r="AJ9" s="828"/>
      <c r="AK9" s="828"/>
    </row>
    <row r="10" spans="1:37" s="3" customFormat="1" x14ac:dyDescent="0.15">
      <c r="A10" s="56"/>
      <c r="B10" s="828"/>
      <c r="C10" s="828"/>
      <c r="D10" s="828"/>
      <c r="E10" s="828"/>
      <c r="F10" s="828"/>
      <c r="G10" s="828"/>
      <c r="H10" s="122"/>
      <c r="I10" s="828"/>
      <c r="J10" s="828"/>
      <c r="K10" s="828"/>
      <c r="L10" s="828"/>
      <c r="M10" s="116"/>
      <c r="N10" s="828"/>
      <c r="O10" s="828"/>
      <c r="P10" s="828"/>
      <c r="Q10" s="828"/>
      <c r="R10" s="828"/>
      <c r="T10" s="56"/>
      <c r="U10" s="828"/>
      <c r="V10" s="828"/>
      <c r="W10" s="828"/>
      <c r="X10" s="828"/>
      <c r="Y10" s="828"/>
      <c r="Z10" s="828"/>
      <c r="AA10" s="122"/>
      <c r="AB10" s="828"/>
      <c r="AC10" s="828"/>
      <c r="AD10" s="828"/>
      <c r="AE10" s="828"/>
      <c r="AF10" s="116"/>
      <c r="AG10" s="828"/>
      <c r="AH10" s="828"/>
      <c r="AI10" s="828"/>
      <c r="AJ10" s="828"/>
      <c r="AK10" s="828"/>
    </row>
    <row r="11" spans="1:37" s="3" customFormat="1" ht="3.5" customHeight="1" x14ac:dyDescent="0.15">
      <c r="A11" s="56"/>
      <c r="B11" s="117"/>
      <c r="C11" s="117"/>
      <c r="D11" s="117"/>
      <c r="E11" s="118"/>
      <c r="F11" s="118"/>
      <c r="G11" s="118"/>
      <c r="H11" s="122"/>
      <c r="I11" s="117"/>
      <c r="J11" s="116"/>
      <c r="K11" s="116"/>
      <c r="L11" s="116"/>
      <c r="M11" s="116"/>
      <c r="N11" s="117"/>
      <c r="O11" s="118"/>
      <c r="P11" s="118"/>
      <c r="Q11" s="116"/>
      <c r="R11" s="116"/>
      <c r="T11" s="56"/>
      <c r="U11" s="117"/>
      <c r="V11" s="117"/>
      <c r="W11" s="117"/>
      <c r="X11" s="118"/>
      <c r="Y11" s="118"/>
      <c r="Z11" s="118"/>
      <c r="AA11" s="122"/>
      <c r="AB11" s="117"/>
      <c r="AC11" s="116"/>
      <c r="AD11" s="116"/>
      <c r="AE11" s="116"/>
      <c r="AF11" s="116"/>
      <c r="AG11" s="117"/>
      <c r="AH11" s="118"/>
      <c r="AI11" s="118"/>
      <c r="AJ11" s="116"/>
      <c r="AK11" s="116"/>
    </row>
    <row r="12" spans="1:37" ht="11.25" customHeight="1" x14ac:dyDescent="0.2">
      <c r="B12" s="826" t="str">
        <f>IF(ISBLANK(Inv!B12),"",Inv!B12)</f>
        <v/>
      </c>
      <c r="C12" s="826"/>
      <c r="D12" s="826"/>
      <c r="E12" s="826"/>
      <c r="F12" s="826"/>
      <c r="G12" s="826"/>
      <c r="H12" s="122"/>
      <c r="I12" s="826" t="str">
        <f>IF(ISBLANK(Inv!I12),"",Inv!I12)</f>
        <v/>
      </c>
      <c r="J12" s="826"/>
      <c r="K12" s="826"/>
      <c r="L12" s="826"/>
      <c r="M12" s="119"/>
      <c r="N12" s="826" t="str">
        <f>IF(Francais,"Transporteur","Ship via")</f>
        <v>Transporteur</v>
      </c>
      <c r="O12" s="826"/>
      <c r="P12" s="826"/>
      <c r="Q12" s="826" t="str">
        <f>IF(ISBLANK(Inv!Q12),"",Inv!Q12)</f>
        <v>Fedex</v>
      </c>
      <c r="R12" s="826"/>
      <c r="T12" s="46"/>
      <c r="U12" s="826" t="str">
        <f t="shared" ref="U12:U17" si="0">B12</f>
        <v/>
      </c>
      <c r="V12" s="826"/>
      <c r="W12" s="826"/>
      <c r="X12" s="826"/>
      <c r="Y12" s="826"/>
      <c r="Z12" s="826"/>
      <c r="AA12" s="122"/>
      <c r="AB12" s="826" t="str">
        <f t="shared" ref="AB12:AB17" si="1">I12</f>
        <v/>
      </c>
      <c r="AC12" s="826"/>
      <c r="AD12" s="826"/>
      <c r="AE12" s="826"/>
      <c r="AF12" s="119"/>
      <c r="AG12" s="826" t="str">
        <f t="shared" ref="AG12:AG13" si="2">N12</f>
        <v>Transporteur</v>
      </c>
      <c r="AH12" s="826"/>
      <c r="AI12" s="826"/>
      <c r="AJ12" s="826" t="str">
        <f>IF(ISBLANK(Inv!AJ12),"",Inv!AJ12)</f>
        <v>Fedex</v>
      </c>
      <c r="AK12" s="826"/>
    </row>
    <row r="13" spans="1:37" ht="11.25" customHeight="1" x14ac:dyDescent="0.2">
      <c r="B13" s="826" t="str">
        <f>IF(ISBLANK(Inv!B13),"",Inv!B13)</f>
        <v/>
      </c>
      <c r="C13" s="826"/>
      <c r="D13" s="826"/>
      <c r="E13" s="826"/>
      <c r="F13" s="826"/>
      <c r="G13" s="826"/>
      <c r="H13" s="122"/>
      <c r="I13" s="826" t="str">
        <f>IF(ISBLANK(Inv!I13),"",Inv!I13)</f>
        <v/>
      </c>
      <c r="J13" s="826"/>
      <c r="K13" s="826"/>
      <c r="L13" s="826"/>
      <c r="M13" s="119"/>
      <c r="N13" s="826" t="s">
        <v>17</v>
      </c>
      <c r="O13" s="826"/>
      <c r="P13" s="826"/>
      <c r="Q13" s="826" t="str">
        <f>IF(ISBLANK(Inv!Q13),"",Inv!Q13)</f>
        <v>DAP</v>
      </c>
      <c r="R13" s="826"/>
      <c r="T13" s="46"/>
      <c r="U13" s="826" t="str">
        <f t="shared" si="0"/>
        <v/>
      </c>
      <c r="V13" s="826"/>
      <c r="W13" s="826"/>
      <c r="X13" s="826"/>
      <c r="Y13" s="826"/>
      <c r="Z13" s="826"/>
      <c r="AA13" s="122"/>
      <c r="AB13" s="826" t="str">
        <f t="shared" si="1"/>
        <v/>
      </c>
      <c r="AC13" s="826"/>
      <c r="AD13" s="826"/>
      <c r="AE13" s="826"/>
      <c r="AF13" s="119"/>
      <c r="AG13" s="826" t="str">
        <f t="shared" si="2"/>
        <v>Incoterms</v>
      </c>
      <c r="AH13" s="826"/>
      <c r="AI13" s="826"/>
      <c r="AJ13" s="826" t="str">
        <f>IF(ISBLANK(Inv!AJ13),"",Inv!AJ13)</f>
        <v>DAP</v>
      </c>
      <c r="AK13" s="826"/>
    </row>
    <row r="14" spans="1:37" ht="11.25" customHeight="1" x14ac:dyDescent="0.2">
      <c r="B14" s="826" t="str">
        <f>IF(ISBLANK(Inv!B14),"",Inv!B14)</f>
        <v/>
      </c>
      <c r="C14" s="826"/>
      <c r="D14" s="826"/>
      <c r="E14" s="826"/>
      <c r="F14" s="826"/>
      <c r="G14" s="826"/>
      <c r="H14" s="122"/>
      <c r="I14" s="826" t="str">
        <f>IF(ISBLANK(Inv!I14),"",Inv!I14)</f>
        <v/>
      </c>
      <c r="J14" s="826"/>
      <c r="K14" s="826"/>
      <c r="L14" s="826"/>
      <c r="M14" s="119"/>
      <c r="N14" s="826" t="str">
        <f>IF(Francais,"Nombre de colis","Total Package(s)")</f>
        <v>Nombre de colis</v>
      </c>
      <c r="O14" s="826"/>
      <c r="P14" s="826"/>
      <c r="Q14" s="826">
        <f>IF(ISBLANK(Inv!Q14),"",Inv!Q14)</f>
        <v>0</v>
      </c>
      <c r="R14" s="826"/>
      <c r="T14" s="46"/>
      <c r="U14" s="826" t="str">
        <f t="shared" si="0"/>
        <v/>
      </c>
      <c r="V14" s="826"/>
      <c r="W14" s="826"/>
      <c r="X14" s="826"/>
      <c r="Y14" s="826"/>
      <c r="Z14" s="826"/>
      <c r="AA14" s="122"/>
      <c r="AB14" s="826" t="str">
        <f t="shared" si="1"/>
        <v/>
      </c>
      <c r="AC14" s="826"/>
      <c r="AD14" s="826"/>
      <c r="AE14" s="826"/>
      <c r="AF14" s="119"/>
      <c r="AG14" s="826" t="str">
        <f>N14</f>
        <v>Nombre de colis</v>
      </c>
      <c r="AH14" s="826"/>
      <c r="AI14" s="826"/>
      <c r="AJ14" s="826">
        <f>IF(NOT(QUOTE_Split_SoftwareHardware),
IF(ISBLANK(Q14),"",Q14),
TotalPackages)</f>
        <v>0</v>
      </c>
      <c r="AK14" s="826"/>
    </row>
    <row r="15" spans="1:37" ht="11.25" customHeight="1" x14ac:dyDescent="0.2">
      <c r="B15" s="826" t="str">
        <f>Inv!B15</f>
        <v xml:space="preserve">,  </v>
      </c>
      <c r="C15" s="826"/>
      <c r="D15" s="826"/>
      <c r="E15" s="826"/>
      <c r="F15" s="826"/>
      <c r="G15" s="826"/>
      <c r="H15" s="122"/>
      <c r="I15" s="826" t="str">
        <f>Inv!I15</f>
        <v xml:space="preserve">,  </v>
      </c>
      <c r="J15" s="826"/>
      <c r="K15" s="826"/>
      <c r="L15" s="826"/>
      <c r="M15" s="119"/>
      <c r="N15" s="826" t="str">
        <f>IF(Francais,"Dimensions boîte (po)","Box Dimensions (in)")</f>
        <v>Dimensions boîte (po)</v>
      </c>
      <c r="O15" s="826"/>
      <c r="P15" s="826"/>
      <c r="Q15" s="863" t="str">
        <f>IF(ISBLANK(Inv!Q15),"",Inv!Q15)</f>
        <v/>
      </c>
      <c r="R15" s="863"/>
      <c r="T15" s="46"/>
      <c r="U15" s="826" t="str">
        <f t="shared" si="0"/>
        <v xml:space="preserve">,  </v>
      </c>
      <c r="V15" s="826"/>
      <c r="W15" s="826"/>
      <c r="X15" s="826"/>
      <c r="Y15" s="826"/>
      <c r="Z15" s="826"/>
      <c r="AA15" s="122"/>
      <c r="AB15" s="826" t="str">
        <f t="shared" si="1"/>
        <v xml:space="preserve">,  </v>
      </c>
      <c r="AC15" s="826"/>
      <c r="AD15" s="826"/>
      <c r="AE15" s="826"/>
      <c r="AF15" s="119"/>
      <c r="AG15" s="826" t="str">
        <f>N15</f>
        <v>Dimensions boîte (po)</v>
      </c>
      <c r="AH15" s="826"/>
      <c r="AI15" s="826"/>
      <c r="AJ15" s="863" t="str">
        <f>IF(NOT(QUOTE_Split_SoftwareHardware),
IF(ISBLANK(Q15),"",Q15),Vars!N86)</f>
        <v/>
      </c>
      <c r="AK15" s="863"/>
    </row>
    <row r="16" spans="1:37" ht="11.25" customHeight="1" x14ac:dyDescent="0.2">
      <c r="B16" s="826" t="str">
        <f>IF(ISBLANK(Inv!B16),"",Inv!B16)</f>
        <v/>
      </c>
      <c r="C16" s="826"/>
      <c r="D16" s="826"/>
      <c r="E16" s="826"/>
      <c r="F16" s="826"/>
      <c r="G16" s="826"/>
      <c r="H16" s="122"/>
      <c r="I16" s="826" t="str">
        <f>IF(ISBLANK(Inv!I16),"",Inv!I16)</f>
        <v/>
      </c>
      <c r="J16" s="826"/>
      <c r="K16" s="826"/>
      <c r="L16" s="826"/>
      <c r="M16" s="119"/>
      <c r="N16" s="237"/>
      <c r="O16" s="237"/>
      <c r="P16" s="119"/>
      <c r="Q16" s="863"/>
      <c r="R16" s="863"/>
      <c r="T16" s="46"/>
      <c r="U16" s="826" t="str">
        <f>B16</f>
        <v/>
      </c>
      <c r="V16" s="826"/>
      <c r="W16" s="826"/>
      <c r="X16" s="826"/>
      <c r="Y16" s="826"/>
      <c r="Z16" s="826"/>
      <c r="AA16" s="122"/>
      <c r="AB16" s="826" t="str">
        <f>I16</f>
        <v/>
      </c>
      <c r="AC16" s="826"/>
      <c r="AD16" s="826"/>
      <c r="AE16" s="826"/>
      <c r="AF16" s="119"/>
      <c r="AG16" s="237"/>
      <c r="AH16" s="237"/>
      <c r="AI16" s="119"/>
      <c r="AJ16" s="863"/>
      <c r="AK16" s="863"/>
    </row>
    <row r="17" spans="1:37" ht="11.25" customHeight="1" x14ac:dyDescent="0.2">
      <c r="B17" s="861" t="str">
        <f>Inv!B17</f>
        <v xml:space="preserve">Contact:   </v>
      </c>
      <c r="C17" s="861"/>
      <c r="D17" s="861"/>
      <c r="E17" s="861"/>
      <c r="F17" s="861"/>
      <c r="G17" s="861"/>
      <c r="H17" s="123"/>
      <c r="I17" s="861" t="str">
        <f>Inv!I17</f>
        <v xml:space="preserve">Contact:   </v>
      </c>
      <c r="J17" s="861"/>
      <c r="K17" s="861"/>
      <c r="L17" s="861"/>
      <c r="M17" s="119"/>
      <c r="N17" s="826" t="str">
        <f>IF(Francais,"Poids net","Weight Net")</f>
        <v>Poids net</v>
      </c>
      <c r="O17" s="826"/>
      <c r="P17" s="826"/>
      <c r="Q17" s="757">
        <f>IF(ISBLANK(Inv!Q17),"",Inv!Q17)</f>
        <v>0</v>
      </c>
      <c r="R17" s="758">
        <f>IFERROR(Q17/2.205,"")</f>
        <v>0</v>
      </c>
      <c r="T17" s="46"/>
      <c r="U17" s="861" t="str">
        <f t="shared" si="0"/>
        <v xml:space="preserve">Contact:   </v>
      </c>
      <c r="V17" s="861"/>
      <c r="W17" s="861"/>
      <c r="X17" s="861"/>
      <c r="Y17" s="861"/>
      <c r="Z17" s="861"/>
      <c r="AA17" s="123"/>
      <c r="AB17" s="861" t="str">
        <f t="shared" si="1"/>
        <v xml:space="preserve">Contact:   </v>
      </c>
      <c r="AC17" s="861"/>
      <c r="AD17" s="861"/>
      <c r="AE17" s="861"/>
      <c r="AF17" s="119"/>
      <c r="AG17" s="826" t="str">
        <f>N17</f>
        <v>Poids net</v>
      </c>
      <c r="AH17" s="826"/>
      <c r="AI17" s="826"/>
      <c r="AJ17" s="759" t="str">
        <f>IF(ISBLANK(Inv!AL17),"",Inv!AL17)</f>
        <v/>
      </c>
      <c r="AK17" s="758" t="str">
        <f>IFERROR(AJ17/2.205,"")</f>
        <v/>
      </c>
    </row>
    <row r="18" spans="1:37" ht="11.25" customHeight="1" x14ac:dyDescent="0.2">
      <c r="B18" s="237" t="str">
        <f>IF(Francais,"Tél.","Tel.")</f>
        <v>Tél.</v>
      </c>
      <c r="C18" s="861" t="str">
        <f>IF(ISBLANK(Inv!C18),"",Inv!C18)</f>
        <v/>
      </c>
      <c r="D18" s="861"/>
      <c r="E18" s="861"/>
      <c r="F18" s="861"/>
      <c r="G18" s="861"/>
      <c r="H18" s="123"/>
      <c r="I18" s="237" t="str">
        <f>IF(Francais,"Tél.","Tel.")</f>
        <v>Tél.</v>
      </c>
      <c r="J18" s="861" t="str">
        <f>IF(ISBLANK(Inv!J18),"",Inv!J18)</f>
        <v/>
      </c>
      <c r="K18" s="861"/>
      <c r="L18" s="861"/>
      <c r="M18" s="119"/>
      <c r="N18" s="826" t="str">
        <f>IF(Francais,"Poids brut","Weight Gross")</f>
        <v>Poids brut</v>
      </c>
      <c r="O18" s="826"/>
      <c r="P18" s="826"/>
      <c r="Q18" s="757">
        <f>IF(ISBLANK(Inv!Q18),"",Inv!Q18)</f>
        <v>0</v>
      </c>
      <c r="R18" s="758">
        <f>IFERROR(Q18/2.205,"")</f>
        <v>0</v>
      </c>
      <c r="T18" s="46"/>
      <c r="U18" s="237" t="str">
        <f>IF(Francais,"Tél.","Tel.")</f>
        <v>Tél.</v>
      </c>
      <c r="V18" s="864" t="str">
        <f>C18</f>
        <v/>
      </c>
      <c r="W18" s="864"/>
      <c r="X18" s="861"/>
      <c r="Y18" s="861"/>
      <c r="Z18" s="861"/>
      <c r="AA18" s="123"/>
      <c r="AB18" s="237" t="str">
        <f>IF(Francais,"Tél.","Tel.")</f>
        <v>Tél.</v>
      </c>
      <c r="AC18" s="861" t="str">
        <f>J18</f>
        <v/>
      </c>
      <c r="AD18" s="861"/>
      <c r="AE18" s="861"/>
      <c r="AF18" s="119"/>
      <c r="AG18" s="826" t="str">
        <f>N18</f>
        <v>Poids brut</v>
      </c>
      <c r="AH18" s="826"/>
      <c r="AI18" s="826"/>
      <c r="AJ18" s="759" t="str">
        <f>IF(ISBLANK(Inv!AL18),"",Inv!AL18)</f>
        <v/>
      </c>
      <c r="AK18" s="758" t="str">
        <f>IFERROR(AJ18/2.205,"")</f>
        <v/>
      </c>
    </row>
    <row r="19" spans="1:37" ht="11" customHeight="1" x14ac:dyDescent="0.2">
      <c r="B19" s="778" t="str">
        <f>IF(Francais,"Courriel:","Email:") &amp; " " &amp; IF(ISBLANK(HOME_Email),"",HOME_Email)</f>
        <v xml:space="preserve">Courriel: </v>
      </c>
      <c r="C19" s="724"/>
      <c r="D19" s="724"/>
      <c r="E19" s="724"/>
      <c r="F19" s="724"/>
      <c r="G19" s="724"/>
      <c r="H19" s="123"/>
      <c r="I19" s="777" t="str">
        <f>IF(Francais,"Courriel:","Email:") &amp; " " &amp; IF(ISBLANK(HOME_Email_Ship),"",HOME_Email_Ship)</f>
        <v xml:space="preserve">Courriel: </v>
      </c>
      <c r="J19" s="724"/>
      <c r="K19" s="119"/>
      <c r="L19" s="119"/>
      <c r="M19" s="237"/>
      <c r="N19" s="826" t="str">
        <f>IF(Francais,"Poids volumétrique","Weight Billing")</f>
        <v>Poids volumétrique</v>
      </c>
      <c r="O19" s="826"/>
      <c r="P19" s="826"/>
      <c r="Q19" s="757">
        <f>IF(NOT(QUOTE_Split_SoftwareHardware),
TotalWeight,
"")</f>
        <v>0</v>
      </c>
      <c r="R19" s="758">
        <f>IFERROR(Q19/2.205,"")</f>
        <v>0</v>
      </c>
      <c r="T19" s="46"/>
      <c r="U19" s="778" t="str">
        <f>IF(Francais,"Courriel:","Email:") &amp; " " &amp; IF(ISBLANK(HOME_Email),"",HOME_Email)</f>
        <v xml:space="preserve">Courriel: </v>
      </c>
      <c r="V19" s="237"/>
      <c r="W19" s="237"/>
      <c r="X19" s="237"/>
      <c r="Y19" s="237"/>
      <c r="Z19" s="237"/>
      <c r="AA19" s="123"/>
      <c r="AB19" s="777" t="str">
        <f>IF(Francais,"Courriel:","Email:") &amp; " " &amp; IF(ISBLANK(HOME_Email_Ship),"",HOME_Email_Ship)</f>
        <v xml:space="preserve">Courriel: </v>
      </c>
      <c r="AC19" s="724"/>
      <c r="AD19" s="125"/>
      <c r="AE19" s="125"/>
      <c r="AF19" s="237"/>
      <c r="AG19" s="826" t="str">
        <f>IF(Francais,"Poids volumétrique","Weight Billing")</f>
        <v>Poids volumétrique</v>
      </c>
      <c r="AH19" s="826"/>
      <c r="AI19" s="826"/>
      <c r="AJ19" s="757">
        <f>IF(NOT(QUOTE_Split_SoftwareHardware),
IF(ISBLANK(R19),"",R19),
TotalWeight)</f>
        <v>0</v>
      </c>
      <c r="AK19" s="758">
        <f>IFERROR(AJ19/2.205,"")</f>
        <v>0</v>
      </c>
    </row>
    <row r="20" spans="1:37" ht="11" customHeight="1" x14ac:dyDescent="0.2">
      <c r="B20" s="737"/>
      <c r="C20" s="737"/>
      <c r="D20" s="737"/>
      <c r="E20" s="737"/>
      <c r="F20" s="737"/>
      <c r="G20" s="737"/>
      <c r="H20" s="123"/>
      <c r="I20" s="384" t="str">
        <f>IF(Francais,
"#Id Taxes / EORI",
"Tax Id / EORI #"
) &amp; ":  " &amp; RIGHT(Inv!I20,LEN(Inv!I20)-18-IF(Francais,1,0))</f>
        <v xml:space="preserve">#Id Taxes / EORI:  </v>
      </c>
      <c r="J20" s="237"/>
      <c r="K20" s="384"/>
      <c r="L20" s="384"/>
      <c r="M20" s="237"/>
      <c r="N20" s="735"/>
      <c r="O20" s="735"/>
      <c r="P20" s="735"/>
      <c r="Q20" s="722"/>
      <c r="R20" s="723"/>
      <c r="T20" s="46"/>
      <c r="U20" s="737"/>
      <c r="V20" s="737"/>
      <c r="W20" s="737"/>
      <c r="X20" s="737"/>
      <c r="Y20" s="737"/>
      <c r="Z20" s="737"/>
      <c r="AA20" s="239"/>
      <c r="AB20" s="384" t="str">
        <f>IF(Francais,
"#Id Taxes / EORI",
"Tax Id / EORI #"
) &amp; ":  " &amp; RIGHT(Inv!AB20,LEN(Inv!AB20)-18-IF(Francais,1,0))</f>
        <v xml:space="preserve">#Id Taxes / EORI:  </v>
      </c>
      <c r="AC20" s="237"/>
      <c r="AD20" s="384"/>
      <c r="AE20" s="384"/>
      <c r="AF20" s="237"/>
      <c r="AG20" s="735"/>
      <c r="AH20" s="735"/>
      <c r="AI20" s="735"/>
      <c r="AJ20" s="722"/>
      <c r="AK20" s="723"/>
    </row>
    <row r="21" spans="1:37" ht="2.75" customHeight="1" x14ac:dyDescent="0.2">
      <c r="T21" s="46"/>
      <c r="U21" s="46"/>
      <c r="V21" s="46"/>
      <c r="W21" s="46"/>
      <c r="X21" s="46"/>
      <c r="Y21" s="46"/>
      <c r="Z21" s="46"/>
      <c r="AA21" s="46"/>
      <c r="AB21" s="46"/>
      <c r="AC21" s="46"/>
      <c r="AD21" s="46"/>
      <c r="AE21" s="46"/>
      <c r="AF21" s="46"/>
      <c r="AG21" s="46"/>
      <c r="AH21" s="46"/>
      <c r="AI21" s="46"/>
      <c r="AJ21" s="46"/>
      <c r="AK21" s="46"/>
    </row>
    <row r="22" spans="1:37" s="57" customFormat="1" ht="24" customHeight="1" x14ac:dyDescent="0.15">
      <c r="A22" s="89"/>
      <c r="B22" s="74" t="s">
        <v>35</v>
      </c>
      <c r="C22" s="75" t="str">
        <f>IF(Francais,"QTÉ","QTY")</f>
        <v>QTÉ</v>
      </c>
      <c r="D22" s="75" t="str">
        <f>IF(Francais,"EXP.","SHIP.")</f>
        <v>EXP.</v>
      </c>
      <c r="E22" s="832" t="s">
        <v>19</v>
      </c>
      <c r="F22" s="832"/>
      <c r="G22" s="75"/>
      <c r="H22" s="75"/>
      <c r="I22" s="75"/>
      <c r="J22" s="75"/>
      <c r="K22" s="75"/>
      <c r="L22" s="75"/>
      <c r="M22" s="75"/>
      <c r="N22" s="75"/>
      <c r="O22" s="877" t="str">
        <f>IF(Francais,"CODE HARMONISÉ","HARMONIZED CODE")</f>
        <v>CODE HARMONISÉ</v>
      </c>
      <c r="P22" s="877"/>
      <c r="Q22" s="75"/>
      <c r="R22" s="76"/>
      <c r="T22" s="89"/>
      <c r="U22" s="74" t="s">
        <v>35</v>
      </c>
      <c r="V22" s="75" t="str">
        <f>IF(Francais,"QTÉ","QTY")</f>
        <v>QTÉ</v>
      </c>
      <c r="W22" s="75" t="str">
        <f>IF(Francais,"EXP.","SHIP.")</f>
        <v>EXP.</v>
      </c>
      <c r="X22" s="832" t="s">
        <v>19</v>
      </c>
      <c r="Y22" s="832"/>
      <c r="Z22" s="75"/>
      <c r="AA22" s="75"/>
      <c r="AB22" s="75"/>
      <c r="AC22" s="75"/>
      <c r="AD22" s="75"/>
      <c r="AE22" s="75"/>
      <c r="AF22" s="75"/>
      <c r="AG22" s="75"/>
      <c r="AH22" s="877" t="str">
        <f>IF(Francais,"CODE HARMONISÉ","HARMONIZED CODE")</f>
        <v>CODE HARMONISÉ</v>
      </c>
      <c r="AI22" s="877"/>
      <c r="AJ22" s="75"/>
      <c r="AK22" s="76"/>
    </row>
    <row r="23" spans="1:37" ht="11" customHeight="1" x14ac:dyDescent="0.2">
      <c r="A23" s="84"/>
      <c r="B23" s="242"/>
      <c r="C23" s="243"/>
      <c r="D23" s="243"/>
      <c r="E23" s="854" t="str">
        <f>IF(ISBLANK(Quote!D23),"",Quote!D23)</f>
        <v/>
      </c>
      <c r="F23" s="836"/>
      <c r="G23" s="836"/>
      <c r="H23" s="836"/>
      <c r="I23" s="836"/>
      <c r="J23" s="836"/>
      <c r="K23" s="836"/>
      <c r="L23" s="836"/>
      <c r="M23" s="836"/>
      <c r="N23" s="836"/>
      <c r="O23" s="852"/>
      <c r="P23" s="853"/>
      <c r="Q23" s="174"/>
      <c r="R23" s="175"/>
      <c r="T23" s="84"/>
      <c r="U23" s="242"/>
      <c r="V23" s="243"/>
      <c r="W23" s="243"/>
      <c r="X23" s="854" t="str">
        <f>IF(ISBLANK(Quote!V23),"",Quote!V23)</f>
        <v/>
      </c>
      <c r="Y23" s="836"/>
      <c r="Z23" s="836"/>
      <c r="AA23" s="836"/>
      <c r="AB23" s="836"/>
      <c r="AC23" s="836"/>
      <c r="AD23" s="836"/>
      <c r="AE23" s="836"/>
      <c r="AF23" s="836"/>
      <c r="AG23" s="836"/>
      <c r="AH23" s="852"/>
      <c r="AI23" s="853"/>
      <c r="AJ23" s="174"/>
      <c r="AK23" s="175"/>
    </row>
    <row r="24" spans="1:37" ht="11.25" customHeight="1" x14ac:dyDescent="0.2">
      <c r="A24" s="84"/>
      <c r="B24" s="73" t="str">
        <f>IF(AND(C24&gt;0,C24&lt;&gt;"",AND(LEFT(E24,7)&lt;&gt;"   • Wi",LEFT(E24,7)&lt;&gt;"   • XL")),COUNT($C$24:C24)-(SUMPRODUCT(--(LEFT($E$24:E24,7)="   • Wi"))+SUMPRODUCT(--(LEFT($E$24:E24,7)="   • XL"))),"")</f>
        <v/>
      </c>
      <c r="C24" s="82" t="str">
        <f>IF(IFERROR(SEARCH("% discount on",QCalc!$N3),0)=0,
IF(NOT(QUOTE_Split_SoftwareHardware),QCalc!Q3,QCalc!X3),"")</f>
        <v/>
      </c>
      <c r="D24" s="82" t="str">
        <f>C24</f>
        <v/>
      </c>
      <c r="E24" s="823" t="str">
        <f>IF(IFERROR(SEARCH("% discount on",QCalc!$N3),0)=0,
IF(NOT(QUOTE_Split_SoftwareHardware),QCalc!N3,QCalc!U3),"")</f>
        <v/>
      </c>
      <c r="F24" s="823"/>
      <c r="G24" s="823"/>
      <c r="H24" s="823"/>
      <c r="I24" s="823"/>
      <c r="J24" s="823"/>
      <c r="K24" s="823"/>
      <c r="L24" s="823"/>
      <c r="M24" s="823"/>
      <c r="N24" s="823"/>
      <c r="O24" s="824" t="str">
        <f>IF(NOT(QUOTE_Split_SoftwareHardware),QCalc!O3,QCalc!V3)</f>
        <v/>
      </c>
      <c r="P24" s="825"/>
      <c r="Q24" s="176"/>
      <c r="R24" s="177"/>
      <c r="T24" s="84"/>
      <c r="U24" s="73" t="str">
        <f>IF(AND(V24&gt;0,V24&lt;&gt;"",AND(LEFT(X24,7)&lt;&gt;"   • Wi",LEFT(X24,7)&lt;&gt;"   • XL")),COUNT($V$24:V24)-(SUMPRODUCT(--(LEFT($X$24:X24,7)="   • Wi"))+SUMPRODUCT(--(LEFT($X$24:X24,7)="   • XL")))+IF(NOT(QUOTE_Split_SoftwareHardware),MAX($B$24:$B$54),0),"")</f>
        <v/>
      </c>
      <c r="V24" s="82" t="str">
        <f>IF(IFERROR(SEARCH("% discount on",QCalc!$AE3),0)=0,
IF(NOT(QUOTE_Split_SoftwareHardware),QCalc!Q34,QCalc!AE3),"")</f>
        <v/>
      </c>
      <c r="W24" s="82" t="str">
        <f>V24</f>
        <v/>
      </c>
      <c r="X24" s="823" t="str">
        <f>IF(IFERROR(SEARCH("% discount on",QCalc!$AE3),0)=0,
IF(NOT(QUOTE_Split_SoftwareHardware),QCalc!N34,QCalc!AB3),"")</f>
        <v/>
      </c>
      <c r="Y24" s="823"/>
      <c r="Z24" s="823"/>
      <c r="AA24" s="823"/>
      <c r="AB24" s="823"/>
      <c r="AC24" s="823"/>
      <c r="AD24" s="823"/>
      <c r="AE24" s="823"/>
      <c r="AF24" s="823"/>
      <c r="AG24" s="823"/>
      <c r="AH24" s="824" t="str">
        <f>IF(NOT(QUOTE_Split_SoftwareHardware),QCalc!O34,QCalc!AC3)</f>
        <v/>
      </c>
      <c r="AI24" s="825"/>
      <c r="AJ24" s="176"/>
      <c r="AK24" s="177"/>
    </row>
    <row r="25" spans="1:37" ht="11.25" customHeight="1" x14ac:dyDescent="0.2">
      <c r="A25" s="84"/>
      <c r="B25" s="73" t="str">
        <f>IF(AND(C25&gt;0,C25&lt;&gt;"",AND(LEFT(E25,7)&lt;&gt;"   • Wi",LEFT(E25,7)&lt;&gt;"   • XL")),COUNT($C$24:C25)-(SUMPRODUCT(--(LEFT($E$24:E25,7)="   • Wi"))+SUMPRODUCT(--(LEFT($E$24:E25,7)="   • XL"))),"")</f>
        <v/>
      </c>
      <c r="C25" s="82" t="str">
        <f>IF(IFERROR(SEARCH("% discount on",QCalc!$N4),0)=0,
IF(NOT(QUOTE_Split_SoftwareHardware),QCalc!Q4,QCalc!X4),"")</f>
        <v/>
      </c>
      <c r="D25" s="82" t="str">
        <f t="shared" ref="D25:D54" si="3">C25</f>
        <v/>
      </c>
      <c r="E25" s="822" t="str">
        <f>IF(IFERROR(SEARCH("% discount on",QCalc!$N4),0)=0,
IF(NOT(QUOTE_Split_SoftwareHardware),QCalc!N4,QCalc!U4),"")</f>
        <v/>
      </c>
      <c r="F25" s="823"/>
      <c r="G25" s="823"/>
      <c r="H25" s="823"/>
      <c r="I25" s="823"/>
      <c r="J25" s="823"/>
      <c r="K25" s="823"/>
      <c r="L25" s="823"/>
      <c r="M25" s="823"/>
      <c r="N25" s="823"/>
      <c r="O25" s="824" t="str">
        <f>IF(NOT(QUOTE_Split_SoftwareHardware),QCalc!O4,QCalc!V4)</f>
        <v/>
      </c>
      <c r="P25" s="825"/>
      <c r="Q25" s="176"/>
      <c r="R25" s="177"/>
      <c r="T25" s="84"/>
      <c r="U25" s="73" t="str">
        <f>IF(AND(V25&gt;0,V25&lt;&gt;"",AND(LEFT(X25,7)&lt;&gt;"   • Wi",LEFT(X25,7)&lt;&gt;"   • XL")),COUNT($V$24:V25)-(SUMPRODUCT(--(LEFT($X$24:X25,7)="   • Wi"))+SUMPRODUCT(--(LEFT($X$24:X25,7)="   • XL")))+IF(NOT(QUOTE_Split_SoftwareHardware),MAX($B$24:$B$54),0),"")</f>
        <v/>
      </c>
      <c r="V25" s="82" t="str">
        <f>IF(IFERROR(SEARCH("% discount on",QCalc!$AE4),0)=0,
IF(NOT(QUOTE_Split_SoftwareHardware),QCalc!Q35,QCalc!AE4),"")</f>
        <v/>
      </c>
      <c r="W25" s="82" t="str">
        <f t="shared" ref="W25:W54" si="4">V25</f>
        <v/>
      </c>
      <c r="X25" s="823" t="str">
        <f>IF(IFERROR(SEARCH("% discount on",QCalc!$AE4),0)=0,
IF(NOT(QUOTE_Split_SoftwareHardware),QCalc!N35,QCalc!AB4),"")</f>
        <v/>
      </c>
      <c r="Y25" s="823"/>
      <c r="Z25" s="823"/>
      <c r="AA25" s="823"/>
      <c r="AB25" s="823"/>
      <c r="AC25" s="823"/>
      <c r="AD25" s="823"/>
      <c r="AE25" s="823"/>
      <c r="AF25" s="823"/>
      <c r="AG25" s="823"/>
      <c r="AH25" s="824" t="str">
        <f>IF(NOT(QUOTE_Split_SoftwareHardware),QCalc!O35,QCalc!AC4)</f>
        <v/>
      </c>
      <c r="AI25" s="825"/>
      <c r="AJ25" s="176"/>
      <c r="AK25" s="177"/>
    </row>
    <row r="26" spans="1:37" ht="11.25" customHeight="1" x14ac:dyDescent="0.2">
      <c r="A26" s="84"/>
      <c r="B26" s="73" t="str">
        <f>IF(AND(C26&gt;0,C26&lt;&gt;"",AND(LEFT(E26,7)&lt;&gt;"   • Wi",LEFT(E26,7)&lt;&gt;"   • XL")),COUNT($C$24:C26)-(SUMPRODUCT(--(LEFT($E$24:E26,7)="   • Wi"))+SUMPRODUCT(--(LEFT($E$24:E26,7)="   • XL"))),"")</f>
        <v/>
      </c>
      <c r="C26" s="82" t="str">
        <f>IF(IFERROR(SEARCH("% discount on",QCalc!$N5),0)=0,
IF(NOT(QUOTE_Split_SoftwareHardware),QCalc!Q5,QCalc!X5),"")</f>
        <v/>
      </c>
      <c r="D26" s="82" t="str">
        <f t="shared" si="3"/>
        <v/>
      </c>
      <c r="E26" s="822" t="str">
        <f>IF(IFERROR(SEARCH("% discount on",QCalc!$N5),0)=0,
IF(NOT(QUOTE_Split_SoftwareHardware),QCalc!N5,QCalc!U5),"")</f>
        <v/>
      </c>
      <c r="F26" s="823"/>
      <c r="G26" s="823"/>
      <c r="H26" s="823"/>
      <c r="I26" s="823"/>
      <c r="J26" s="823"/>
      <c r="K26" s="823"/>
      <c r="L26" s="823"/>
      <c r="M26" s="823"/>
      <c r="N26" s="823"/>
      <c r="O26" s="824" t="str">
        <f>IF(NOT(QUOTE_Split_SoftwareHardware),QCalc!O5,QCalc!V5)</f>
        <v/>
      </c>
      <c r="P26" s="825"/>
      <c r="Q26" s="176"/>
      <c r="R26" s="177"/>
      <c r="T26" s="84"/>
      <c r="U26" s="73" t="str">
        <f>IF(AND(V26&gt;0,V26&lt;&gt;"",AND(LEFT(X26,7)&lt;&gt;"   • Wi",LEFT(X26,7)&lt;&gt;"   • XL")),COUNT($V$24:V26)-(SUMPRODUCT(--(LEFT($X$24:X26,7)="   • Wi"))+SUMPRODUCT(--(LEFT($X$24:X26,7)="   • XL")))+IF(NOT(QUOTE_Split_SoftwareHardware),MAX($B$24:$B$54),0),"")</f>
        <v/>
      </c>
      <c r="V26" s="82" t="str">
        <f>IF(IFERROR(SEARCH("% discount on",QCalc!$AE5),0)=0,
IF(NOT(QUOTE_Split_SoftwareHardware),QCalc!Q36,QCalc!AE5),"")</f>
        <v/>
      </c>
      <c r="W26" s="82" t="str">
        <f t="shared" si="4"/>
        <v/>
      </c>
      <c r="X26" s="823" t="str">
        <f>IF(IFERROR(SEARCH("% discount on",QCalc!$AE5),0)=0,
IF(NOT(QUOTE_Split_SoftwareHardware),QCalc!N36,QCalc!AB5),"")</f>
        <v/>
      </c>
      <c r="Y26" s="823"/>
      <c r="Z26" s="823"/>
      <c r="AA26" s="823"/>
      <c r="AB26" s="823"/>
      <c r="AC26" s="823"/>
      <c r="AD26" s="823"/>
      <c r="AE26" s="823"/>
      <c r="AF26" s="823"/>
      <c r="AG26" s="823"/>
      <c r="AH26" s="824" t="str">
        <f>IF(NOT(QUOTE_Split_SoftwareHardware),QCalc!O36,QCalc!AC5)</f>
        <v/>
      </c>
      <c r="AI26" s="825"/>
      <c r="AJ26" s="176"/>
      <c r="AK26" s="177"/>
    </row>
    <row r="27" spans="1:37" ht="11.25" customHeight="1" x14ac:dyDescent="0.2">
      <c r="A27" s="84"/>
      <c r="B27" s="73" t="str">
        <f>IF(AND(C27&gt;0,C27&lt;&gt;"",AND(LEFT(E27,7)&lt;&gt;"   • Wi",LEFT(E27,7)&lt;&gt;"   • XL")),COUNT($C$24:C27)-(SUMPRODUCT(--(LEFT($E$24:E27,7)="   • Wi"))+SUMPRODUCT(--(LEFT($E$24:E27,7)="   • XL"))),"")</f>
        <v/>
      </c>
      <c r="C27" s="82" t="str">
        <f>IF(IFERROR(SEARCH("% discount on",QCalc!$N6),0)=0,
IF(NOT(QUOTE_Split_SoftwareHardware),QCalc!Q6,QCalc!X6),"")</f>
        <v/>
      </c>
      <c r="D27" s="82" t="str">
        <f t="shared" si="3"/>
        <v/>
      </c>
      <c r="E27" s="822" t="str">
        <f>IF(IFERROR(SEARCH("% discount on",QCalc!$N6),0)=0,
IF(NOT(QUOTE_Split_SoftwareHardware),QCalc!N6,QCalc!U6),"")</f>
        <v/>
      </c>
      <c r="F27" s="823"/>
      <c r="G27" s="823"/>
      <c r="H27" s="823"/>
      <c r="I27" s="823"/>
      <c r="J27" s="823"/>
      <c r="K27" s="823"/>
      <c r="L27" s="823"/>
      <c r="M27" s="823"/>
      <c r="N27" s="823"/>
      <c r="O27" s="824" t="str">
        <f>IF(NOT(QUOTE_Split_SoftwareHardware),QCalc!O6,QCalc!V6)</f>
        <v/>
      </c>
      <c r="P27" s="825"/>
      <c r="Q27" s="176"/>
      <c r="R27" s="177"/>
      <c r="T27" s="84"/>
      <c r="U27" s="73" t="str">
        <f>IF(AND(V27&gt;0,V27&lt;&gt;"",AND(LEFT(X27,7)&lt;&gt;"   • Wi",LEFT(X27,7)&lt;&gt;"   • XL")),COUNT($V$24:V27)-(SUMPRODUCT(--(LEFT($X$24:X27,7)="   • Wi"))+SUMPRODUCT(--(LEFT($X$24:X27,7)="   • XL")))+IF(NOT(QUOTE_Split_SoftwareHardware),MAX($B$24:$B$54),0),"")</f>
        <v/>
      </c>
      <c r="V27" s="82" t="str">
        <f>IF(IFERROR(SEARCH("% discount on",QCalc!$AE6),0)=0,
IF(NOT(QUOTE_Split_SoftwareHardware),QCalc!Q37,QCalc!AE6),"")</f>
        <v/>
      </c>
      <c r="W27" s="82" t="str">
        <f t="shared" si="4"/>
        <v/>
      </c>
      <c r="X27" s="823" t="str">
        <f>IF(IFERROR(SEARCH("% discount on",QCalc!$AE6),0)=0,
IF(NOT(QUOTE_Split_SoftwareHardware),QCalc!N37,QCalc!AB6),"")</f>
        <v/>
      </c>
      <c r="Y27" s="823"/>
      <c r="Z27" s="823"/>
      <c r="AA27" s="823"/>
      <c r="AB27" s="823"/>
      <c r="AC27" s="823"/>
      <c r="AD27" s="823"/>
      <c r="AE27" s="823"/>
      <c r="AF27" s="823"/>
      <c r="AG27" s="823"/>
      <c r="AH27" s="824" t="str">
        <f>IF(NOT(QUOTE_Split_SoftwareHardware),QCalc!O37,QCalc!AC6)</f>
        <v/>
      </c>
      <c r="AI27" s="825"/>
      <c r="AJ27" s="176"/>
      <c r="AK27" s="177"/>
    </row>
    <row r="28" spans="1:37" ht="11.25" customHeight="1" x14ac:dyDescent="0.2">
      <c r="A28" s="84"/>
      <c r="B28" s="73" t="str">
        <f>IF(AND(C28&gt;0,C28&lt;&gt;"",AND(LEFT(E28,7)&lt;&gt;"   • Wi",LEFT(E28,7)&lt;&gt;"   • XL")),COUNT($C$24:C28)-(SUMPRODUCT(--(LEFT($E$24:E28,7)="   • Wi"))+SUMPRODUCT(--(LEFT($E$24:E28,7)="   • XL"))),"")</f>
        <v/>
      </c>
      <c r="C28" s="82" t="str">
        <f>IF(IFERROR(SEARCH("% discount on",QCalc!$N7),0)=0,
IF(NOT(QUOTE_Split_SoftwareHardware),QCalc!Q7,QCalc!X7),"")</f>
        <v/>
      </c>
      <c r="D28" s="82" t="str">
        <f t="shared" si="3"/>
        <v/>
      </c>
      <c r="E28" s="822" t="str">
        <f>IF(IFERROR(SEARCH("% discount on",QCalc!$N7),0)=0,
IF(NOT(QUOTE_Split_SoftwareHardware),QCalc!N7,QCalc!U7),"")</f>
        <v/>
      </c>
      <c r="F28" s="823"/>
      <c r="G28" s="823"/>
      <c r="H28" s="823"/>
      <c r="I28" s="823"/>
      <c r="J28" s="823"/>
      <c r="K28" s="823"/>
      <c r="L28" s="823"/>
      <c r="M28" s="823"/>
      <c r="N28" s="823"/>
      <c r="O28" s="824" t="str">
        <f>IF(NOT(QUOTE_Split_SoftwareHardware),QCalc!O7,QCalc!V7)</f>
        <v/>
      </c>
      <c r="P28" s="825"/>
      <c r="Q28" s="176"/>
      <c r="R28" s="177"/>
      <c r="T28" s="84"/>
      <c r="U28" s="73" t="str">
        <f>IF(AND(V28&gt;0,V28&lt;&gt;"",AND(LEFT(X28,7)&lt;&gt;"   • Wi",LEFT(X28,7)&lt;&gt;"   • XL")),COUNT($V$24:V28)-(SUMPRODUCT(--(LEFT($X$24:X28,7)="   • Wi"))+SUMPRODUCT(--(LEFT($X$24:X28,7)="   • XL")))+IF(NOT(QUOTE_Split_SoftwareHardware),MAX($B$24:$B$54),0),"")</f>
        <v/>
      </c>
      <c r="V28" s="82" t="str">
        <f>IF(IFERROR(SEARCH("% discount on",QCalc!$AE7),0)=0,
IF(NOT(QUOTE_Split_SoftwareHardware),QCalc!Q38,QCalc!AE7),"")</f>
        <v/>
      </c>
      <c r="W28" s="82" t="str">
        <f t="shared" si="4"/>
        <v/>
      </c>
      <c r="X28" s="823" t="str">
        <f>IF(IFERROR(SEARCH("% discount on",QCalc!$AE7),0)=0,
IF(NOT(QUOTE_Split_SoftwareHardware),QCalc!N38,QCalc!AB7),"")</f>
        <v/>
      </c>
      <c r="Y28" s="823"/>
      <c r="Z28" s="823"/>
      <c r="AA28" s="823"/>
      <c r="AB28" s="823"/>
      <c r="AC28" s="823"/>
      <c r="AD28" s="823"/>
      <c r="AE28" s="823"/>
      <c r="AF28" s="823"/>
      <c r="AG28" s="823"/>
      <c r="AH28" s="824" t="str">
        <f>IF(NOT(QUOTE_Split_SoftwareHardware),QCalc!O38,QCalc!AC7)</f>
        <v/>
      </c>
      <c r="AI28" s="825"/>
      <c r="AJ28" s="176"/>
      <c r="AK28" s="177"/>
    </row>
    <row r="29" spans="1:37" ht="11.25" customHeight="1" x14ac:dyDescent="0.2">
      <c r="A29" s="84"/>
      <c r="B29" s="73" t="str">
        <f>IF(AND(C29&gt;0,C29&lt;&gt;"",AND(LEFT(E29,7)&lt;&gt;"   • Wi",LEFT(E29,7)&lt;&gt;"   • XL")),COUNT($C$24:C29)-(SUMPRODUCT(--(LEFT($E$24:E29,7)="   • Wi"))+SUMPRODUCT(--(LEFT($E$24:E29,7)="   • XL"))),"")</f>
        <v/>
      </c>
      <c r="C29" s="82" t="str">
        <f>IF(IFERROR(SEARCH("% discount on",QCalc!$N8),0)=0,
IF(NOT(QUOTE_Split_SoftwareHardware),QCalc!Q8,QCalc!X8),"")</f>
        <v/>
      </c>
      <c r="D29" s="82" t="str">
        <f t="shared" si="3"/>
        <v/>
      </c>
      <c r="E29" s="822" t="str">
        <f>IF(IFERROR(SEARCH("% discount on",QCalc!$N8),0)=0,
IF(NOT(QUOTE_Split_SoftwareHardware),QCalc!N8,QCalc!U8),"")</f>
        <v/>
      </c>
      <c r="F29" s="823"/>
      <c r="G29" s="823"/>
      <c r="H29" s="823"/>
      <c r="I29" s="823"/>
      <c r="J29" s="823"/>
      <c r="K29" s="823"/>
      <c r="L29" s="823"/>
      <c r="M29" s="823"/>
      <c r="N29" s="823"/>
      <c r="O29" s="824" t="str">
        <f>IF(NOT(QUOTE_Split_SoftwareHardware),QCalc!O8,QCalc!V8)</f>
        <v/>
      </c>
      <c r="P29" s="825"/>
      <c r="Q29" s="176"/>
      <c r="R29" s="177"/>
      <c r="T29" s="84"/>
      <c r="U29" s="73" t="str">
        <f>IF(AND(V29&gt;0,V29&lt;&gt;"",AND(LEFT(X29,7)&lt;&gt;"   • Wi",LEFT(X29,7)&lt;&gt;"   • XL")),COUNT($V$24:V29)-(SUMPRODUCT(--(LEFT($X$24:X29,7)="   • Wi"))+SUMPRODUCT(--(LEFT($X$24:X29,7)="   • XL")))+IF(NOT(QUOTE_Split_SoftwareHardware),MAX($B$24:$B$54),0),"")</f>
        <v/>
      </c>
      <c r="V29" s="82" t="str">
        <f>IF(IFERROR(SEARCH("% discount on",QCalc!$AE8),0)=0,
IF(NOT(QUOTE_Split_SoftwareHardware),QCalc!Q39,QCalc!AE8),"")</f>
        <v/>
      </c>
      <c r="W29" s="82" t="str">
        <f t="shared" si="4"/>
        <v/>
      </c>
      <c r="X29" s="823" t="str">
        <f>IF(IFERROR(SEARCH("% discount on",QCalc!$AE8),0)=0,
IF(NOT(QUOTE_Split_SoftwareHardware),QCalc!N39,QCalc!AB8),"")</f>
        <v/>
      </c>
      <c r="Y29" s="823"/>
      <c r="Z29" s="823"/>
      <c r="AA29" s="823"/>
      <c r="AB29" s="823"/>
      <c r="AC29" s="823"/>
      <c r="AD29" s="823"/>
      <c r="AE29" s="823"/>
      <c r="AF29" s="823"/>
      <c r="AG29" s="823"/>
      <c r="AH29" s="824" t="str">
        <f>IF(NOT(QUOTE_Split_SoftwareHardware),QCalc!O39,QCalc!AC8)</f>
        <v/>
      </c>
      <c r="AI29" s="825"/>
      <c r="AJ29" s="176"/>
      <c r="AK29" s="177"/>
    </row>
    <row r="30" spans="1:37" ht="11.25" customHeight="1" x14ac:dyDescent="0.2">
      <c r="A30" s="84"/>
      <c r="B30" s="73" t="str">
        <f>IF(AND(C30&gt;0,C30&lt;&gt;"",AND(LEFT(E30,7)&lt;&gt;"   • Wi",LEFT(E30,7)&lt;&gt;"   • XL")),COUNT($C$24:C30)-(SUMPRODUCT(--(LEFT($E$24:E30,7)="   • Wi"))+SUMPRODUCT(--(LEFT($E$24:E30,7)="   • XL"))),"")</f>
        <v/>
      </c>
      <c r="C30" s="82" t="str">
        <f>IF(IFERROR(SEARCH("% discount on",QCalc!$N9),0)=0,
IF(NOT(QUOTE_Split_SoftwareHardware),QCalc!Q9,QCalc!X9),"")</f>
        <v/>
      </c>
      <c r="D30" s="82" t="str">
        <f t="shared" si="3"/>
        <v/>
      </c>
      <c r="E30" s="822" t="str">
        <f>IF(IFERROR(SEARCH("% discount on",QCalc!$N9),0)=0,
IF(NOT(QUOTE_Split_SoftwareHardware),QCalc!N9,QCalc!U9),"")</f>
        <v/>
      </c>
      <c r="F30" s="823"/>
      <c r="G30" s="823"/>
      <c r="H30" s="823"/>
      <c r="I30" s="823"/>
      <c r="J30" s="823"/>
      <c r="K30" s="823"/>
      <c r="L30" s="823"/>
      <c r="M30" s="823"/>
      <c r="N30" s="823"/>
      <c r="O30" s="824" t="str">
        <f>IF(NOT(QUOTE_Split_SoftwareHardware),QCalc!O9,QCalc!V9)</f>
        <v/>
      </c>
      <c r="P30" s="825"/>
      <c r="Q30" s="176"/>
      <c r="R30" s="177"/>
      <c r="T30" s="84"/>
      <c r="U30" s="73" t="str">
        <f>IF(AND(V30&gt;0,V30&lt;&gt;"",AND(LEFT(X30,7)&lt;&gt;"   • Wi",LEFT(X30,7)&lt;&gt;"   • XL")),COUNT($V$24:V30)-(SUMPRODUCT(--(LEFT($X$24:X30,7)="   • Wi"))+SUMPRODUCT(--(LEFT($X$24:X30,7)="   • XL")))+IF(NOT(QUOTE_Split_SoftwareHardware),MAX($B$24:$B$54),0),"")</f>
        <v/>
      </c>
      <c r="V30" s="82" t="str">
        <f>IF(IFERROR(SEARCH("% discount on",QCalc!$AE9),0)=0,
IF(NOT(QUOTE_Split_SoftwareHardware),QCalc!Q40,QCalc!AE9),"")</f>
        <v/>
      </c>
      <c r="W30" s="82" t="str">
        <f t="shared" si="4"/>
        <v/>
      </c>
      <c r="X30" s="823" t="str">
        <f>IF(IFERROR(SEARCH("% discount on",QCalc!$AE9),0)=0,
IF(NOT(QUOTE_Split_SoftwareHardware),QCalc!N40,QCalc!AB9),"")</f>
        <v/>
      </c>
      <c r="Y30" s="823"/>
      <c r="Z30" s="823"/>
      <c r="AA30" s="823"/>
      <c r="AB30" s="823"/>
      <c r="AC30" s="823"/>
      <c r="AD30" s="823"/>
      <c r="AE30" s="823"/>
      <c r="AF30" s="823"/>
      <c r="AG30" s="823"/>
      <c r="AH30" s="824" t="str">
        <f>IF(NOT(QUOTE_Split_SoftwareHardware),QCalc!O40,QCalc!AC9)</f>
        <v/>
      </c>
      <c r="AI30" s="825"/>
      <c r="AJ30" s="176"/>
      <c r="AK30" s="177"/>
    </row>
    <row r="31" spans="1:37" ht="11" customHeight="1" x14ac:dyDescent="0.2">
      <c r="A31" s="84"/>
      <c r="B31" s="73" t="str">
        <f>IF(AND(C31&gt;0,C31&lt;&gt;"",AND(LEFT(E31,7)&lt;&gt;"   • Wi",LEFT(E31,7)&lt;&gt;"   • XL")),COUNT($C$24:C31)-(SUMPRODUCT(--(LEFT($E$24:E31,7)="   • Wi"))+SUMPRODUCT(--(LEFT($E$24:E31,7)="   • XL"))),"")</f>
        <v/>
      </c>
      <c r="C31" s="82" t="str">
        <f>IF(IFERROR(SEARCH("% discount on",QCalc!$N10),0)=0,
IF(NOT(QUOTE_Split_SoftwareHardware),QCalc!Q10,QCalc!X10),"")</f>
        <v/>
      </c>
      <c r="D31" s="82" t="str">
        <f t="shared" si="3"/>
        <v/>
      </c>
      <c r="E31" s="822" t="str">
        <f>IF(IFERROR(SEARCH("% discount on",QCalc!$N10),0)=0,
IF(NOT(QUOTE_Split_SoftwareHardware),QCalc!N10,QCalc!U10),"")</f>
        <v/>
      </c>
      <c r="F31" s="823"/>
      <c r="G31" s="823"/>
      <c r="H31" s="823"/>
      <c r="I31" s="823"/>
      <c r="J31" s="823"/>
      <c r="K31" s="823"/>
      <c r="L31" s="823"/>
      <c r="M31" s="823"/>
      <c r="N31" s="823"/>
      <c r="O31" s="824" t="str">
        <f>IF(NOT(QUOTE_Split_SoftwareHardware),QCalc!O10,QCalc!V10)</f>
        <v/>
      </c>
      <c r="P31" s="825"/>
      <c r="Q31" s="176"/>
      <c r="R31" s="177"/>
      <c r="T31" s="84"/>
      <c r="U31" s="73" t="str">
        <f>IF(AND(V31&gt;0,V31&lt;&gt;"",AND(LEFT(X31,7)&lt;&gt;"   • Wi",LEFT(X31,7)&lt;&gt;"   • XL")),COUNT($V$24:V31)-(SUMPRODUCT(--(LEFT($X$24:X31,7)="   • Wi"))+SUMPRODUCT(--(LEFT($X$24:X31,7)="   • XL")))+IF(NOT(QUOTE_Split_SoftwareHardware),MAX($B$24:$B$54),0),"")</f>
        <v/>
      </c>
      <c r="V31" s="82" t="str">
        <f>IF(IFERROR(SEARCH("% discount on",QCalc!$AE10),0)=0,
IF(NOT(QUOTE_Split_SoftwareHardware),QCalc!Q41,QCalc!AE10),"")</f>
        <v/>
      </c>
      <c r="W31" s="82" t="str">
        <f t="shared" si="4"/>
        <v/>
      </c>
      <c r="X31" s="823" t="str">
        <f>IF(IFERROR(SEARCH("% discount on",QCalc!$AE10),0)=0,
IF(NOT(QUOTE_Split_SoftwareHardware),QCalc!N41,QCalc!AB10),"")</f>
        <v/>
      </c>
      <c r="Y31" s="823"/>
      <c r="Z31" s="823"/>
      <c r="AA31" s="823"/>
      <c r="AB31" s="823"/>
      <c r="AC31" s="823"/>
      <c r="AD31" s="823"/>
      <c r="AE31" s="823"/>
      <c r="AF31" s="823"/>
      <c r="AG31" s="823"/>
      <c r="AH31" s="824" t="str">
        <f>IF(NOT(QUOTE_Split_SoftwareHardware),QCalc!O41,QCalc!AC10)</f>
        <v/>
      </c>
      <c r="AI31" s="825"/>
      <c r="AJ31" s="176"/>
      <c r="AK31" s="177"/>
    </row>
    <row r="32" spans="1:37" ht="11" customHeight="1" x14ac:dyDescent="0.2">
      <c r="A32" s="84"/>
      <c r="B32" s="73" t="str">
        <f>IF(AND(C32&gt;0,C32&lt;&gt;"",AND(LEFT(E32,7)&lt;&gt;"   • Wi",LEFT(E32,7)&lt;&gt;"   • XL")),COUNT($C$24:C32)-(SUMPRODUCT(--(LEFT($E$24:E32,7)="   • Wi"))+SUMPRODUCT(--(LEFT($E$24:E32,7)="   • XL"))),"")</f>
        <v/>
      </c>
      <c r="C32" s="82" t="str">
        <f>IF(IFERROR(SEARCH("% discount on",QCalc!$N11),0)=0,
IF(NOT(QUOTE_Split_SoftwareHardware),QCalc!Q11,QCalc!X11),"")</f>
        <v/>
      </c>
      <c r="D32" s="82" t="str">
        <f t="shared" si="3"/>
        <v/>
      </c>
      <c r="E32" s="822" t="str">
        <f>IF(IFERROR(SEARCH("% discount on",QCalc!$N11),0)=0,
IF(NOT(QUOTE_Split_SoftwareHardware),QCalc!N11,QCalc!U11),"")</f>
        <v/>
      </c>
      <c r="F32" s="823"/>
      <c r="G32" s="823"/>
      <c r="H32" s="823"/>
      <c r="I32" s="823"/>
      <c r="J32" s="823"/>
      <c r="K32" s="823"/>
      <c r="L32" s="823"/>
      <c r="M32" s="823"/>
      <c r="N32" s="823"/>
      <c r="O32" s="824" t="str">
        <f>IF(NOT(QUOTE_Split_SoftwareHardware),QCalc!O11,QCalc!V11)</f>
        <v/>
      </c>
      <c r="P32" s="825"/>
      <c r="Q32" s="176"/>
      <c r="R32" s="177"/>
      <c r="T32" s="84"/>
      <c r="U32" s="73" t="str">
        <f>IF(AND(V32&gt;0,V32&lt;&gt;"",AND(LEFT(X32,7)&lt;&gt;"   • Wi",LEFT(X32,7)&lt;&gt;"   • XL")),COUNT($V$24:V32)-(SUMPRODUCT(--(LEFT($X$24:X32,7)="   • Wi"))+SUMPRODUCT(--(LEFT($X$24:X32,7)="   • XL")))+IF(NOT(QUOTE_Split_SoftwareHardware),MAX($B$24:$B$54),0),"")</f>
        <v/>
      </c>
      <c r="V32" s="82" t="str">
        <f>IF(IFERROR(SEARCH("% discount on",QCalc!$AE11),0)=0,
IF(NOT(QUOTE_Split_SoftwareHardware),QCalc!Q42,QCalc!AE11),"")</f>
        <v/>
      </c>
      <c r="W32" s="82" t="str">
        <f t="shared" si="4"/>
        <v/>
      </c>
      <c r="X32" s="823" t="str">
        <f>IF(IFERROR(SEARCH("% discount on",QCalc!$AE11),0)=0,
IF(NOT(QUOTE_Split_SoftwareHardware),QCalc!N42,QCalc!AB11),"")</f>
        <v/>
      </c>
      <c r="Y32" s="823"/>
      <c r="Z32" s="823"/>
      <c r="AA32" s="823"/>
      <c r="AB32" s="823"/>
      <c r="AC32" s="823"/>
      <c r="AD32" s="823"/>
      <c r="AE32" s="823"/>
      <c r="AF32" s="823"/>
      <c r="AG32" s="823"/>
      <c r="AH32" s="824" t="str">
        <f>IF(NOT(QUOTE_Split_SoftwareHardware),QCalc!O42,QCalc!AC11)</f>
        <v/>
      </c>
      <c r="AI32" s="825"/>
      <c r="AJ32" s="176"/>
      <c r="AK32" s="177"/>
    </row>
    <row r="33" spans="1:37" ht="11" customHeight="1" x14ac:dyDescent="0.2">
      <c r="A33" s="84"/>
      <c r="B33" s="73" t="str">
        <f>IF(AND(C33&gt;0,C33&lt;&gt;"",AND(LEFT(E33,7)&lt;&gt;"   • Wi",LEFT(E33,7)&lt;&gt;"   • XL")),COUNT($C$24:C33)-(SUMPRODUCT(--(LEFT($E$24:E33,7)="   • Wi"))+SUMPRODUCT(--(LEFT($E$24:E33,7)="   • XL"))),"")</f>
        <v/>
      </c>
      <c r="C33" s="82" t="str">
        <f>IF(IFERROR(SEARCH("% discount on",QCalc!$N12),0)=0,
IF(NOT(QUOTE_Split_SoftwareHardware),QCalc!Q12,QCalc!X12),"")</f>
        <v/>
      </c>
      <c r="D33" s="82" t="str">
        <f t="shared" si="3"/>
        <v/>
      </c>
      <c r="E33" s="822" t="str">
        <f>IF(IFERROR(SEARCH("% discount on",QCalc!$N12),0)=0,
IF(NOT(QUOTE_Split_SoftwareHardware),QCalc!N12,QCalc!U12),"")</f>
        <v/>
      </c>
      <c r="F33" s="823"/>
      <c r="G33" s="823"/>
      <c r="H33" s="823"/>
      <c r="I33" s="823"/>
      <c r="J33" s="823"/>
      <c r="K33" s="823"/>
      <c r="L33" s="823"/>
      <c r="M33" s="823"/>
      <c r="N33" s="823"/>
      <c r="O33" s="824" t="str">
        <f>IF(NOT(QUOTE_Split_SoftwareHardware),QCalc!O12,QCalc!V12)</f>
        <v/>
      </c>
      <c r="P33" s="825"/>
      <c r="Q33" s="176"/>
      <c r="R33" s="177"/>
      <c r="T33" s="84"/>
      <c r="U33" s="73" t="str">
        <f>IF(AND(V33&gt;0,V33&lt;&gt;"",AND(LEFT(X33,7)&lt;&gt;"   • Wi",LEFT(X33,7)&lt;&gt;"   • XL")),COUNT($V$24:V33)-(SUMPRODUCT(--(LEFT($X$24:X33,7)="   • Wi"))+SUMPRODUCT(--(LEFT($X$24:X33,7)="   • XL")))+IF(NOT(QUOTE_Split_SoftwareHardware),MAX($B$24:$B$54),0),"")</f>
        <v/>
      </c>
      <c r="V33" s="82" t="str">
        <f>IF(IFERROR(SEARCH("% discount on",QCalc!$AE12),0)=0,
IF(NOT(QUOTE_Split_SoftwareHardware),QCalc!Q43,QCalc!AE12),"")</f>
        <v/>
      </c>
      <c r="W33" s="82" t="str">
        <f t="shared" si="4"/>
        <v/>
      </c>
      <c r="X33" s="823" t="str">
        <f>IF(IFERROR(SEARCH("% discount on",QCalc!$AE12),0)=0,
IF(NOT(QUOTE_Split_SoftwareHardware),QCalc!N43,QCalc!AB12),"")</f>
        <v/>
      </c>
      <c r="Y33" s="823"/>
      <c r="Z33" s="823"/>
      <c r="AA33" s="823"/>
      <c r="AB33" s="823"/>
      <c r="AC33" s="823"/>
      <c r="AD33" s="823"/>
      <c r="AE33" s="823"/>
      <c r="AF33" s="823"/>
      <c r="AG33" s="823"/>
      <c r="AH33" s="824" t="str">
        <f>IF(NOT(QUOTE_Split_SoftwareHardware),QCalc!O43,QCalc!AC12)</f>
        <v/>
      </c>
      <c r="AI33" s="825"/>
      <c r="AJ33" s="176"/>
      <c r="AK33" s="177"/>
    </row>
    <row r="34" spans="1:37" ht="11" customHeight="1" x14ac:dyDescent="0.2">
      <c r="A34" s="84"/>
      <c r="B34" s="73" t="str">
        <f>IF(AND(C34&gt;0,C34&lt;&gt;"",AND(LEFT(E34,7)&lt;&gt;"   • Wi",LEFT(E34,7)&lt;&gt;"   • XL")),COUNT($C$24:C34)-(SUMPRODUCT(--(LEFT($E$24:E34,7)="   • Wi"))+SUMPRODUCT(--(LEFT($E$24:E34,7)="   • XL"))),"")</f>
        <v/>
      </c>
      <c r="C34" s="82" t="str">
        <f>IF(IFERROR(SEARCH("% discount on",QCalc!$N13),0)=0,
IF(NOT(QUOTE_Split_SoftwareHardware),QCalc!Q13,QCalc!X13),"")</f>
        <v/>
      </c>
      <c r="D34" s="82" t="str">
        <f t="shared" si="3"/>
        <v/>
      </c>
      <c r="E34" s="822" t="str">
        <f>IF(IFERROR(SEARCH("% discount on",QCalc!$N13),0)=0,
IF(NOT(QUOTE_Split_SoftwareHardware),QCalc!N13,QCalc!U13),"")</f>
        <v/>
      </c>
      <c r="F34" s="823"/>
      <c r="G34" s="823"/>
      <c r="H34" s="823"/>
      <c r="I34" s="823"/>
      <c r="J34" s="823"/>
      <c r="K34" s="823"/>
      <c r="L34" s="823"/>
      <c r="M34" s="823"/>
      <c r="N34" s="823"/>
      <c r="O34" s="824" t="str">
        <f>IF(NOT(QUOTE_Split_SoftwareHardware),QCalc!O13,QCalc!V13)</f>
        <v/>
      </c>
      <c r="P34" s="825"/>
      <c r="Q34" s="176"/>
      <c r="R34" s="177"/>
      <c r="T34" s="84"/>
      <c r="U34" s="73" t="str">
        <f>IF(AND(V34&gt;0,V34&lt;&gt;"",AND(LEFT(X34,7)&lt;&gt;"   • Wi",LEFT(X34,7)&lt;&gt;"   • XL")),COUNT($V$24:V34)-(SUMPRODUCT(--(LEFT($X$24:X34,7)="   • Wi"))+SUMPRODUCT(--(LEFT($X$24:X34,7)="   • XL")))+IF(NOT(QUOTE_Split_SoftwareHardware),MAX($B$24:$B$54),0),"")</f>
        <v/>
      </c>
      <c r="V34" s="82" t="str">
        <f>IF(IFERROR(SEARCH("% discount on",QCalc!$AE13),0)=0,
IF(NOT(QUOTE_Split_SoftwareHardware),QCalc!Q44,QCalc!AE13),"")</f>
        <v/>
      </c>
      <c r="W34" s="82" t="str">
        <f t="shared" si="4"/>
        <v/>
      </c>
      <c r="X34" s="823" t="str">
        <f>IF(IFERROR(SEARCH("% discount on",QCalc!$AE13),0)=0,
IF(NOT(QUOTE_Split_SoftwareHardware),QCalc!N44,QCalc!AB13),"")</f>
        <v/>
      </c>
      <c r="Y34" s="823"/>
      <c r="Z34" s="823"/>
      <c r="AA34" s="823"/>
      <c r="AB34" s="823"/>
      <c r="AC34" s="823"/>
      <c r="AD34" s="823"/>
      <c r="AE34" s="823"/>
      <c r="AF34" s="823"/>
      <c r="AG34" s="823"/>
      <c r="AH34" s="824" t="str">
        <f>IF(NOT(QUOTE_Split_SoftwareHardware),QCalc!O44,QCalc!AC13)</f>
        <v/>
      </c>
      <c r="AI34" s="825"/>
      <c r="AJ34" s="176"/>
      <c r="AK34" s="177"/>
    </row>
    <row r="35" spans="1:37" ht="11" customHeight="1" x14ac:dyDescent="0.2">
      <c r="A35" s="84"/>
      <c r="B35" s="73" t="str">
        <f>IF(AND(C35&gt;0,C35&lt;&gt;"",AND(LEFT(E35,7)&lt;&gt;"   • Wi",LEFT(E35,7)&lt;&gt;"   • XL")),COUNT($C$24:C35)-(SUMPRODUCT(--(LEFT($E$24:E35,7)="   • Wi"))+SUMPRODUCT(--(LEFT($E$24:E35,7)="   • XL"))),"")</f>
        <v/>
      </c>
      <c r="C35" s="82" t="str">
        <f>IF(IFERROR(SEARCH("% discount on",QCalc!$N14),0)=0,
IF(NOT(QUOTE_Split_SoftwareHardware),QCalc!Q14,QCalc!X14),"")</f>
        <v/>
      </c>
      <c r="D35" s="82" t="str">
        <f t="shared" si="3"/>
        <v/>
      </c>
      <c r="E35" s="822" t="str">
        <f>IF(IFERROR(SEARCH("% discount on",QCalc!$N14),0)=0,
IF(NOT(QUOTE_Split_SoftwareHardware),QCalc!N14,QCalc!U14),"")</f>
        <v/>
      </c>
      <c r="F35" s="823"/>
      <c r="G35" s="823"/>
      <c r="H35" s="823"/>
      <c r="I35" s="823"/>
      <c r="J35" s="823"/>
      <c r="K35" s="823"/>
      <c r="L35" s="823"/>
      <c r="M35" s="823"/>
      <c r="N35" s="823"/>
      <c r="O35" s="824" t="str">
        <f>IF(NOT(QUOTE_Split_SoftwareHardware),QCalc!O14,QCalc!V14)</f>
        <v/>
      </c>
      <c r="P35" s="825"/>
      <c r="Q35" s="176"/>
      <c r="R35" s="177"/>
      <c r="T35" s="84"/>
      <c r="U35" s="73" t="str">
        <f>IF(AND(V35&gt;0,V35&lt;&gt;"",AND(LEFT(X35,7)&lt;&gt;"   • Wi",LEFT(X35,7)&lt;&gt;"   • XL")),COUNT($V$24:V35)-(SUMPRODUCT(--(LEFT($X$24:X35,7)="   • Wi"))+SUMPRODUCT(--(LEFT($X$24:X35,7)="   • XL")))+IF(NOT(QUOTE_Split_SoftwareHardware),MAX($B$24:$B$54),0),"")</f>
        <v/>
      </c>
      <c r="V35" s="82" t="str">
        <f>IF(IFERROR(SEARCH("% discount on",QCalc!$AE14),0)=0,
IF(NOT(QUOTE_Split_SoftwareHardware),QCalc!Q45,QCalc!AE14),"")</f>
        <v/>
      </c>
      <c r="W35" s="82" t="str">
        <f t="shared" si="4"/>
        <v/>
      </c>
      <c r="X35" s="823" t="str">
        <f>IF(IFERROR(SEARCH("% discount on",QCalc!$AE14),0)=0,
IF(NOT(QUOTE_Split_SoftwareHardware),QCalc!N45,QCalc!AB14),"")</f>
        <v/>
      </c>
      <c r="Y35" s="823"/>
      <c r="Z35" s="823"/>
      <c r="AA35" s="823"/>
      <c r="AB35" s="823"/>
      <c r="AC35" s="823"/>
      <c r="AD35" s="823"/>
      <c r="AE35" s="823"/>
      <c r="AF35" s="823"/>
      <c r="AG35" s="823"/>
      <c r="AH35" s="824" t="str">
        <f>IF(NOT(QUOTE_Split_SoftwareHardware),QCalc!O45,QCalc!AC14)</f>
        <v/>
      </c>
      <c r="AI35" s="825"/>
      <c r="AJ35" s="176"/>
      <c r="AK35" s="177"/>
    </row>
    <row r="36" spans="1:37" ht="11" customHeight="1" x14ac:dyDescent="0.2">
      <c r="A36" s="84"/>
      <c r="B36" s="73" t="str">
        <f>IF(AND(C36&gt;0,C36&lt;&gt;"",AND(LEFT(E36,7)&lt;&gt;"   • Wi",LEFT(E36,7)&lt;&gt;"   • XL")),COUNT($C$24:C36)-(SUMPRODUCT(--(LEFT($E$24:E36,7)="   • Wi"))+SUMPRODUCT(--(LEFT($E$24:E36,7)="   • XL"))),"")</f>
        <v/>
      </c>
      <c r="C36" s="82" t="str">
        <f>IF(IFERROR(SEARCH("% discount on",QCalc!$N15),0)=0,
IF(NOT(QUOTE_Split_SoftwareHardware),QCalc!Q15,QCalc!X15),"")</f>
        <v/>
      </c>
      <c r="D36" s="82" t="str">
        <f t="shared" si="3"/>
        <v/>
      </c>
      <c r="E36" s="822" t="str">
        <f>IF(IFERROR(SEARCH("% discount on",QCalc!$N15),0)=0,
IF(NOT(QUOTE_Split_SoftwareHardware),QCalc!N15,QCalc!U15),"")</f>
        <v/>
      </c>
      <c r="F36" s="823"/>
      <c r="G36" s="823"/>
      <c r="H36" s="823"/>
      <c r="I36" s="823"/>
      <c r="J36" s="823"/>
      <c r="K36" s="823"/>
      <c r="L36" s="823"/>
      <c r="M36" s="823"/>
      <c r="N36" s="823"/>
      <c r="O36" s="824" t="str">
        <f>IF(NOT(QUOTE_Split_SoftwareHardware),QCalc!O15,QCalc!V15)</f>
        <v/>
      </c>
      <c r="P36" s="825"/>
      <c r="Q36" s="176"/>
      <c r="R36" s="177"/>
      <c r="T36" s="84"/>
      <c r="U36" s="73" t="str">
        <f>IF(AND(V36&gt;0,V36&lt;&gt;"",AND(LEFT(X36,7)&lt;&gt;"   • Wi",LEFT(X36,7)&lt;&gt;"   • XL")),COUNT($V$24:V36)-(SUMPRODUCT(--(LEFT($X$24:X36,7)="   • Wi"))+SUMPRODUCT(--(LEFT($X$24:X36,7)="   • XL")))+IF(NOT(QUOTE_Split_SoftwareHardware),MAX($B$24:$B$54),0),"")</f>
        <v/>
      </c>
      <c r="V36" s="82" t="str">
        <f>IF(IFERROR(SEARCH("% discount on",QCalc!$AE15),0)=0,
IF(NOT(QUOTE_Split_SoftwareHardware),QCalc!Q46,QCalc!AE15),"")</f>
        <v/>
      </c>
      <c r="W36" s="82" t="str">
        <f t="shared" si="4"/>
        <v/>
      </c>
      <c r="X36" s="823" t="str">
        <f>IF(IFERROR(SEARCH("% discount on",QCalc!$AE15),0)=0,
IF(NOT(QUOTE_Split_SoftwareHardware),QCalc!N46,QCalc!AB15),"")</f>
        <v/>
      </c>
      <c r="Y36" s="823"/>
      <c r="Z36" s="823"/>
      <c r="AA36" s="823"/>
      <c r="AB36" s="823"/>
      <c r="AC36" s="823"/>
      <c r="AD36" s="823"/>
      <c r="AE36" s="823"/>
      <c r="AF36" s="823"/>
      <c r="AG36" s="823"/>
      <c r="AH36" s="824" t="str">
        <f>IF(NOT(QUOTE_Split_SoftwareHardware),QCalc!O46,QCalc!AC15)</f>
        <v/>
      </c>
      <c r="AI36" s="825"/>
      <c r="AJ36" s="176"/>
      <c r="AK36" s="177"/>
    </row>
    <row r="37" spans="1:37" ht="11" customHeight="1" x14ac:dyDescent="0.2">
      <c r="A37" s="84"/>
      <c r="B37" s="73" t="str">
        <f>IF(AND(C37&gt;0,C37&lt;&gt;"",AND(LEFT(E37,7)&lt;&gt;"   • Wi",LEFT(E37,7)&lt;&gt;"   • XL")),COUNT($C$24:C37)-(SUMPRODUCT(--(LEFT($E$24:E37,7)="   • Wi"))+SUMPRODUCT(--(LEFT($E$24:E37,7)="   • XL"))),"")</f>
        <v/>
      </c>
      <c r="C37" s="82" t="str">
        <f>IF(IFERROR(SEARCH("% discount on",QCalc!$N16),0)=0,
IF(NOT(QUOTE_Split_SoftwareHardware),QCalc!Q16,QCalc!X16),"")</f>
        <v/>
      </c>
      <c r="D37" s="82" t="str">
        <f t="shared" si="3"/>
        <v/>
      </c>
      <c r="E37" s="822" t="str">
        <f>IF(IFERROR(SEARCH("% discount on",QCalc!$N16),0)=0,
IF(NOT(QUOTE_Split_SoftwareHardware),QCalc!N16,QCalc!U16),"")</f>
        <v/>
      </c>
      <c r="F37" s="823"/>
      <c r="G37" s="823"/>
      <c r="H37" s="823"/>
      <c r="I37" s="823"/>
      <c r="J37" s="823"/>
      <c r="K37" s="823"/>
      <c r="L37" s="823"/>
      <c r="M37" s="823"/>
      <c r="N37" s="823"/>
      <c r="O37" s="824" t="str">
        <f>IF(NOT(QUOTE_Split_SoftwareHardware),QCalc!O16,QCalc!V16)</f>
        <v/>
      </c>
      <c r="P37" s="825"/>
      <c r="Q37" s="176"/>
      <c r="R37" s="177"/>
      <c r="T37" s="84"/>
      <c r="U37" s="73" t="str">
        <f>IF(AND(V37&gt;0,V37&lt;&gt;"",AND(LEFT(X37,7)&lt;&gt;"   • Wi",LEFT(X37,7)&lt;&gt;"   • XL")),COUNT($V$24:V37)-(SUMPRODUCT(--(LEFT($X$24:X37,7)="   • Wi"))+SUMPRODUCT(--(LEFT($X$24:X37,7)="   • XL")))+IF(NOT(QUOTE_Split_SoftwareHardware),MAX($B$24:$B$54),0),"")</f>
        <v/>
      </c>
      <c r="V37" s="82" t="str">
        <f>IF(IFERROR(SEARCH("% discount on",QCalc!$AE16),0)=0,
IF(NOT(QUOTE_Split_SoftwareHardware),QCalc!Q47,QCalc!AE16),"")</f>
        <v/>
      </c>
      <c r="W37" s="82" t="str">
        <f t="shared" si="4"/>
        <v/>
      </c>
      <c r="X37" s="823" t="str">
        <f>IF(IFERROR(SEARCH("% discount on",QCalc!$AE16),0)=0,
IF(NOT(QUOTE_Split_SoftwareHardware),QCalc!N47,QCalc!AB16),"")</f>
        <v/>
      </c>
      <c r="Y37" s="823"/>
      <c r="Z37" s="823"/>
      <c r="AA37" s="823"/>
      <c r="AB37" s="823"/>
      <c r="AC37" s="823"/>
      <c r="AD37" s="823"/>
      <c r="AE37" s="823"/>
      <c r="AF37" s="823"/>
      <c r="AG37" s="823"/>
      <c r="AH37" s="824" t="str">
        <f>IF(NOT(QUOTE_Split_SoftwareHardware),QCalc!O47,QCalc!AC16)</f>
        <v/>
      </c>
      <c r="AI37" s="825"/>
      <c r="AJ37" s="176"/>
      <c r="AK37" s="177"/>
    </row>
    <row r="38" spans="1:37" ht="11" customHeight="1" x14ac:dyDescent="0.2">
      <c r="A38" s="84"/>
      <c r="B38" s="73" t="str">
        <f>IF(AND(C38&gt;0,C38&lt;&gt;"",AND(LEFT(E38,7)&lt;&gt;"   • Wi",LEFT(E38,7)&lt;&gt;"   • XL")),COUNT($C$24:C38)-(SUMPRODUCT(--(LEFT($E$24:E38,7)="   • Wi"))+SUMPRODUCT(--(LEFT($E$24:E38,7)="   • XL"))),"")</f>
        <v/>
      </c>
      <c r="C38" s="82" t="str">
        <f>IF(IFERROR(SEARCH("% discount on",QCalc!$N17),0)=0,
IF(NOT(QUOTE_Split_SoftwareHardware),QCalc!Q17,QCalc!X17),"")</f>
        <v/>
      </c>
      <c r="D38" s="82" t="str">
        <f t="shared" si="3"/>
        <v/>
      </c>
      <c r="E38" s="822" t="str">
        <f>IF(IFERROR(SEARCH("% discount on",QCalc!$N17),0)=0,
IF(NOT(QUOTE_Split_SoftwareHardware),QCalc!N17,QCalc!U17),"")</f>
        <v/>
      </c>
      <c r="F38" s="823"/>
      <c r="G38" s="823"/>
      <c r="H38" s="823"/>
      <c r="I38" s="823"/>
      <c r="J38" s="823"/>
      <c r="K38" s="823"/>
      <c r="L38" s="823"/>
      <c r="M38" s="823"/>
      <c r="N38" s="823"/>
      <c r="O38" s="824" t="str">
        <f>IF(NOT(QUOTE_Split_SoftwareHardware),QCalc!O17,QCalc!V17)</f>
        <v/>
      </c>
      <c r="P38" s="825"/>
      <c r="Q38" s="176"/>
      <c r="R38" s="177"/>
      <c r="T38" s="84"/>
      <c r="U38" s="73" t="str">
        <f>IF(AND(V38&gt;0,V38&lt;&gt;"",AND(LEFT(X38,7)&lt;&gt;"   • Wi",LEFT(X38,7)&lt;&gt;"   • XL")),COUNT($V$24:V38)-(SUMPRODUCT(--(LEFT($X$24:X38,7)="   • Wi"))+SUMPRODUCT(--(LEFT($X$24:X38,7)="   • XL")))+IF(NOT(QUOTE_Split_SoftwareHardware),MAX($B$24:$B$54),0),"")</f>
        <v/>
      </c>
      <c r="V38" s="82" t="str">
        <f>IF(IFERROR(SEARCH("% discount on",QCalc!$AE17),0)=0,
IF(NOT(QUOTE_Split_SoftwareHardware),QCalc!Q48,QCalc!AE17),"")</f>
        <v/>
      </c>
      <c r="W38" s="82" t="str">
        <f t="shared" si="4"/>
        <v/>
      </c>
      <c r="X38" s="823" t="str">
        <f>IF(IFERROR(SEARCH("% discount on",QCalc!$AE17),0)=0,
IF(NOT(QUOTE_Split_SoftwareHardware),QCalc!N48,QCalc!AB17),"")</f>
        <v/>
      </c>
      <c r="Y38" s="823"/>
      <c r="Z38" s="823"/>
      <c r="AA38" s="823"/>
      <c r="AB38" s="823"/>
      <c r="AC38" s="823"/>
      <c r="AD38" s="823"/>
      <c r="AE38" s="823"/>
      <c r="AF38" s="823"/>
      <c r="AG38" s="823"/>
      <c r="AH38" s="824" t="str">
        <f>IF(NOT(QUOTE_Split_SoftwareHardware),QCalc!O48,QCalc!AC17)</f>
        <v/>
      </c>
      <c r="AI38" s="825"/>
      <c r="AJ38" s="176"/>
      <c r="AK38" s="177"/>
    </row>
    <row r="39" spans="1:37" ht="11" customHeight="1" x14ac:dyDescent="0.2">
      <c r="A39" s="84"/>
      <c r="B39" s="73" t="str">
        <f>IF(AND(C39&gt;0,C39&lt;&gt;"",AND(LEFT(E39,7)&lt;&gt;"   • Wi",LEFT(E39,7)&lt;&gt;"   • XL")),COUNT($C$24:C39)-(SUMPRODUCT(--(LEFT($E$24:E39,7)="   • Wi"))+SUMPRODUCT(--(LEFT($E$24:E39,7)="   • XL"))),"")</f>
        <v/>
      </c>
      <c r="C39" s="82" t="str">
        <f>IF(IFERROR(SEARCH("% discount on",QCalc!$N18),0)=0,
IF(NOT(QUOTE_Split_SoftwareHardware),QCalc!Q18,QCalc!X18),"")</f>
        <v/>
      </c>
      <c r="D39" s="82" t="str">
        <f t="shared" si="3"/>
        <v/>
      </c>
      <c r="E39" s="822" t="str">
        <f>IF(IFERROR(SEARCH("% discount on",QCalc!$N18),0)=0,
IF(NOT(QUOTE_Split_SoftwareHardware),QCalc!N18,QCalc!U18),"")</f>
        <v/>
      </c>
      <c r="F39" s="823"/>
      <c r="G39" s="823"/>
      <c r="H39" s="823"/>
      <c r="I39" s="823"/>
      <c r="J39" s="823"/>
      <c r="K39" s="823"/>
      <c r="L39" s="823"/>
      <c r="M39" s="823"/>
      <c r="N39" s="823"/>
      <c r="O39" s="824" t="str">
        <f>IF(NOT(QUOTE_Split_SoftwareHardware),QCalc!O18,QCalc!V18)</f>
        <v/>
      </c>
      <c r="P39" s="825"/>
      <c r="Q39" s="176"/>
      <c r="R39" s="177"/>
      <c r="T39" s="84"/>
      <c r="U39" s="73" t="str">
        <f>IF(AND(V39&gt;0,V39&lt;&gt;"",AND(LEFT(X39,7)&lt;&gt;"   • Wi",LEFT(X39,7)&lt;&gt;"   • XL")),COUNT($V$24:V39)-(SUMPRODUCT(--(LEFT($X$24:X39,7)="   • Wi"))+SUMPRODUCT(--(LEFT($X$24:X39,7)="   • XL")))+IF(NOT(QUOTE_Split_SoftwareHardware),MAX($B$24:$B$54),0),"")</f>
        <v/>
      </c>
      <c r="V39" s="82" t="str">
        <f>IF(IFERROR(SEARCH("% discount on",QCalc!$AE18),0)=0,
IF(NOT(QUOTE_Split_SoftwareHardware),QCalc!Q49,QCalc!AE18),"")</f>
        <v/>
      </c>
      <c r="W39" s="82" t="str">
        <f t="shared" si="4"/>
        <v/>
      </c>
      <c r="X39" s="823" t="str">
        <f>IF(IFERROR(SEARCH("% discount on",QCalc!$AE18),0)=0,
IF(NOT(QUOTE_Split_SoftwareHardware),QCalc!N49,QCalc!AB18),"")</f>
        <v/>
      </c>
      <c r="Y39" s="823"/>
      <c r="Z39" s="823"/>
      <c r="AA39" s="823"/>
      <c r="AB39" s="823"/>
      <c r="AC39" s="823"/>
      <c r="AD39" s="823"/>
      <c r="AE39" s="823"/>
      <c r="AF39" s="823"/>
      <c r="AG39" s="823"/>
      <c r="AH39" s="824" t="str">
        <f>IF(NOT(QUOTE_Split_SoftwareHardware),QCalc!O49,QCalc!AC18)</f>
        <v/>
      </c>
      <c r="AI39" s="825"/>
      <c r="AJ39" s="176"/>
      <c r="AK39" s="177"/>
    </row>
    <row r="40" spans="1:37" ht="11" customHeight="1" x14ac:dyDescent="0.2">
      <c r="A40" s="84"/>
      <c r="B40" s="73" t="str">
        <f>IF(AND(C40&gt;0,C40&lt;&gt;"",AND(LEFT(E40,7)&lt;&gt;"   • Wi",LEFT(E40,7)&lt;&gt;"   • XL")),COUNT($C$24:C40)-(SUMPRODUCT(--(LEFT($E$24:E40,7)="   • Wi"))+SUMPRODUCT(--(LEFT($E$24:E40,7)="   • XL"))),"")</f>
        <v/>
      </c>
      <c r="C40" s="82" t="str">
        <f>IF(IFERROR(SEARCH("% discount on",QCalc!$N19),0)=0,
IF(NOT(QUOTE_Split_SoftwareHardware),QCalc!Q19,QCalc!X19),"")</f>
        <v/>
      </c>
      <c r="D40" s="82" t="str">
        <f t="shared" si="3"/>
        <v/>
      </c>
      <c r="E40" s="822" t="str">
        <f>IF(IFERROR(SEARCH("% discount on",QCalc!$N19),0)=0,
IF(NOT(QUOTE_Split_SoftwareHardware),QCalc!N19,QCalc!U19),"")</f>
        <v/>
      </c>
      <c r="F40" s="823"/>
      <c r="G40" s="823"/>
      <c r="H40" s="823"/>
      <c r="I40" s="823"/>
      <c r="J40" s="823"/>
      <c r="K40" s="823"/>
      <c r="L40" s="823"/>
      <c r="M40" s="823"/>
      <c r="N40" s="823"/>
      <c r="O40" s="824" t="str">
        <f>IF(NOT(QUOTE_Split_SoftwareHardware),QCalc!O19,QCalc!V19)</f>
        <v/>
      </c>
      <c r="P40" s="825"/>
      <c r="Q40" s="176"/>
      <c r="R40" s="177"/>
      <c r="T40" s="84"/>
      <c r="U40" s="73" t="str">
        <f>IF(AND(V40&gt;0,V40&lt;&gt;"",AND(LEFT(X40,7)&lt;&gt;"   • Wi",LEFT(X40,7)&lt;&gt;"   • XL")),COUNT($V$24:V40)-(SUMPRODUCT(--(LEFT($X$24:X40,7)="   • Wi"))+SUMPRODUCT(--(LEFT($X$24:X40,7)="   • XL")))+IF(NOT(QUOTE_Split_SoftwareHardware),MAX($B$24:$B$54),0),"")</f>
        <v/>
      </c>
      <c r="V40" s="82" t="str">
        <f>IF(IFERROR(SEARCH("% discount on",QCalc!$AE19),0)=0,
IF(NOT(QUOTE_Split_SoftwareHardware),QCalc!Q50,QCalc!AE19),"")</f>
        <v/>
      </c>
      <c r="W40" s="82" t="str">
        <f t="shared" si="4"/>
        <v/>
      </c>
      <c r="X40" s="823" t="str">
        <f>IF(IFERROR(SEARCH("% discount on",QCalc!$AE19),0)=0,
IF(NOT(QUOTE_Split_SoftwareHardware),QCalc!N50,QCalc!AB19),"")</f>
        <v/>
      </c>
      <c r="Y40" s="823"/>
      <c r="Z40" s="823"/>
      <c r="AA40" s="823"/>
      <c r="AB40" s="823"/>
      <c r="AC40" s="823"/>
      <c r="AD40" s="823"/>
      <c r="AE40" s="823"/>
      <c r="AF40" s="823"/>
      <c r="AG40" s="823"/>
      <c r="AH40" s="824" t="str">
        <f>IF(NOT(QUOTE_Split_SoftwareHardware),QCalc!O50,QCalc!AC19)</f>
        <v/>
      </c>
      <c r="AI40" s="825"/>
      <c r="AJ40" s="176"/>
      <c r="AK40" s="177"/>
    </row>
    <row r="41" spans="1:37" ht="11" customHeight="1" x14ac:dyDescent="0.2">
      <c r="A41" s="84"/>
      <c r="B41" s="73" t="str">
        <f>IF(AND(C41&gt;0,C41&lt;&gt;"",AND(LEFT(E41,7)&lt;&gt;"   • Wi",LEFT(E41,7)&lt;&gt;"   • XL")),COUNT($C$24:C41)-(SUMPRODUCT(--(LEFT($E$24:E41,7)="   • Wi"))+SUMPRODUCT(--(LEFT($E$24:E41,7)="   • XL"))),"")</f>
        <v/>
      </c>
      <c r="C41" s="82" t="str">
        <f>IF(IFERROR(SEARCH("% discount on",QCalc!$N20),0)=0,
IF(NOT(QUOTE_Split_SoftwareHardware),QCalc!Q20,QCalc!X20),"")</f>
        <v/>
      </c>
      <c r="D41" s="82" t="str">
        <f t="shared" si="3"/>
        <v/>
      </c>
      <c r="E41" s="822" t="str">
        <f>IF(IFERROR(SEARCH("% discount on",QCalc!$N20),0)=0,
IF(NOT(QUOTE_Split_SoftwareHardware),QCalc!N20,QCalc!U20),"")</f>
        <v/>
      </c>
      <c r="F41" s="823"/>
      <c r="G41" s="823"/>
      <c r="H41" s="823"/>
      <c r="I41" s="823"/>
      <c r="J41" s="823"/>
      <c r="K41" s="823"/>
      <c r="L41" s="823"/>
      <c r="M41" s="823"/>
      <c r="N41" s="823"/>
      <c r="O41" s="824" t="str">
        <f>IF(NOT(QUOTE_Split_SoftwareHardware),QCalc!O20,QCalc!V20)</f>
        <v/>
      </c>
      <c r="P41" s="825"/>
      <c r="Q41" s="176"/>
      <c r="R41" s="177"/>
      <c r="T41" s="84"/>
      <c r="U41" s="73" t="str">
        <f>IF(AND(V41&gt;0,V41&lt;&gt;"",AND(LEFT(X41,7)&lt;&gt;"   • Wi",LEFT(X41,7)&lt;&gt;"   • XL")),COUNT($V$24:V41)-(SUMPRODUCT(--(LEFT($X$24:X41,7)="   • Wi"))+SUMPRODUCT(--(LEFT($X$24:X41,7)="   • XL")))+IF(NOT(QUOTE_Split_SoftwareHardware),MAX($B$24:$B$54),0),"")</f>
        <v/>
      </c>
      <c r="V41" s="82" t="str">
        <f>IF(IFERROR(SEARCH("% discount on",QCalc!$AE20),0)=0,
IF(NOT(QUOTE_Split_SoftwareHardware),QCalc!Q51,QCalc!AE20),"")</f>
        <v/>
      </c>
      <c r="W41" s="82" t="str">
        <f t="shared" si="4"/>
        <v/>
      </c>
      <c r="X41" s="823" t="str">
        <f>IF(IFERROR(SEARCH("% discount on",QCalc!$AE20),0)=0,
IF(NOT(QUOTE_Split_SoftwareHardware),QCalc!N51,QCalc!AB20),"")</f>
        <v/>
      </c>
      <c r="Y41" s="823"/>
      <c r="Z41" s="823"/>
      <c r="AA41" s="823"/>
      <c r="AB41" s="823"/>
      <c r="AC41" s="823"/>
      <c r="AD41" s="823"/>
      <c r="AE41" s="823"/>
      <c r="AF41" s="823"/>
      <c r="AG41" s="823"/>
      <c r="AH41" s="824" t="str">
        <f>IF(NOT(QUOTE_Split_SoftwareHardware),QCalc!O51,QCalc!AC20)</f>
        <v/>
      </c>
      <c r="AI41" s="825"/>
      <c r="AJ41" s="176"/>
      <c r="AK41" s="177"/>
    </row>
    <row r="42" spans="1:37" ht="11" customHeight="1" x14ac:dyDescent="0.2">
      <c r="A42" s="84"/>
      <c r="B42" s="73" t="str">
        <f>IF(AND(C42&gt;0,C42&lt;&gt;"",AND(LEFT(E42,7)&lt;&gt;"   • Wi",LEFT(E42,7)&lt;&gt;"   • XL")),COUNT($C$24:C42)-(SUMPRODUCT(--(LEFT($E$24:E42,7)="   • Wi"))+SUMPRODUCT(--(LEFT($E$24:E42,7)="   • XL"))),"")</f>
        <v/>
      </c>
      <c r="C42" s="82" t="str">
        <f>IF(IFERROR(SEARCH("% discount on",QCalc!$N21),0)=0,
IF(NOT(QUOTE_Split_SoftwareHardware),QCalc!Q21,QCalc!X21),"")</f>
        <v/>
      </c>
      <c r="D42" s="82" t="str">
        <f t="shared" si="3"/>
        <v/>
      </c>
      <c r="E42" s="822" t="str">
        <f>IF(IFERROR(SEARCH("% discount on",QCalc!$N21),0)=0,
IF(NOT(QUOTE_Split_SoftwareHardware),QCalc!N21,QCalc!U21),"")</f>
        <v/>
      </c>
      <c r="F42" s="823"/>
      <c r="G42" s="823"/>
      <c r="H42" s="823"/>
      <c r="I42" s="823"/>
      <c r="J42" s="823"/>
      <c r="K42" s="823"/>
      <c r="L42" s="823"/>
      <c r="M42" s="823"/>
      <c r="N42" s="823"/>
      <c r="O42" s="824" t="str">
        <f>IF(NOT(QUOTE_Split_SoftwareHardware),QCalc!O21,QCalc!V21)</f>
        <v/>
      </c>
      <c r="P42" s="825"/>
      <c r="Q42" s="176"/>
      <c r="R42" s="177"/>
      <c r="T42" s="84"/>
      <c r="U42" s="73" t="str">
        <f>IF(AND(V42&gt;0,V42&lt;&gt;"",AND(LEFT(X42,7)&lt;&gt;"   • Wi",LEFT(X42,7)&lt;&gt;"   • XL")),COUNT($V$24:V42)-(SUMPRODUCT(--(LEFT($X$24:X42,7)="   • Wi"))+SUMPRODUCT(--(LEFT($X$24:X42,7)="   • XL")))+IF(NOT(QUOTE_Split_SoftwareHardware),MAX($B$24:$B$54),0),"")</f>
        <v/>
      </c>
      <c r="V42" s="82" t="str">
        <f>IF(IFERROR(SEARCH("% discount on",QCalc!$AE21),0)=0,
IF(NOT(QUOTE_Split_SoftwareHardware),QCalc!Q52,QCalc!AE21),"")</f>
        <v/>
      </c>
      <c r="W42" s="82" t="str">
        <f t="shared" si="4"/>
        <v/>
      </c>
      <c r="X42" s="823" t="str">
        <f>IF(IFERROR(SEARCH("% discount on",QCalc!$AE21),0)=0,
IF(NOT(QUOTE_Split_SoftwareHardware),QCalc!N52,QCalc!AB21),"")</f>
        <v/>
      </c>
      <c r="Y42" s="823"/>
      <c r="Z42" s="823"/>
      <c r="AA42" s="823"/>
      <c r="AB42" s="823"/>
      <c r="AC42" s="823"/>
      <c r="AD42" s="823"/>
      <c r="AE42" s="823"/>
      <c r="AF42" s="823"/>
      <c r="AG42" s="823"/>
      <c r="AH42" s="824" t="str">
        <f>IF(NOT(QUOTE_Split_SoftwareHardware),QCalc!O52,QCalc!AC21)</f>
        <v/>
      </c>
      <c r="AI42" s="825"/>
      <c r="AJ42" s="176"/>
      <c r="AK42" s="177"/>
    </row>
    <row r="43" spans="1:37" ht="11" customHeight="1" x14ac:dyDescent="0.2">
      <c r="A43" s="84"/>
      <c r="B43" s="73" t="str">
        <f>IF(AND(C43&gt;0,C43&lt;&gt;"",AND(LEFT(E43,7)&lt;&gt;"   • Wi",LEFT(E43,7)&lt;&gt;"   • XL")),COUNT($C$24:C43)-(SUMPRODUCT(--(LEFT($E$24:E43,7)="   • Wi"))+SUMPRODUCT(--(LEFT($E$24:E43,7)="   • XL"))),"")</f>
        <v/>
      </c>
      <c r="C43" s="82" t="str">
        <f>IF(IFERROR(SEARCH("% discount on",QCalc!$N22),0)=0,
IF(NOT(QUOTE_Split_SoftwareHardware),QCalc!Q22,QCalc!X22),"")</f>
        <v/>
      </c>
      <c r="D43" s="82" t="str">
        <f t="shared" si="3"/>
        <v/>
      </c>
      <c r="E43" s="822" t="str">
        <f>IF(IFERROR(SEARCH("% discount on",QCalc!$N22),0)=0,
IF(NOT(QUOTE_Split_SoftwareHardware),QCalc!N22,QCalc!U22),"")</f>
        <v/>
      </c>
      <c r="F43" s="823"/>
      <c r="G43" s="823"/>
      <c r="H43" s="823"/>
      <c r="I43" s="823"/>
      <c r="J43" s="823"/>
      <c r="K43" s="823"/>
      <c r="L43" s="823"/>
      <c r="M43" s="823"/>
      <c r="N43" s="823"/>
      <c r="O43" s="824" t="str">
        <f>IF(NOT(QUOTE_Split_SoftwareHardware),QCalc!O22,QCalc!V22)</f>
        <v/>
      </c>
      <c r="P43" s="825"/>
      <c r="Q43" s="176"/>
      <c r="R43" s="177"/>
      <c r="T43" s="84"/>
      <c r="U43" s="73" t="str">
        <f>IF(AND(V43&gt;0,V43&lt;&gt;"",AND(LEFT(X43,7)&lt;&gt;"   • Wi",LEFT(X43,7)&lt;&gt;"   • XL")),COUNT($V$24:V43)-(SUMPRODUCT(--(LEFT($X$24:X43,7)="   • Wi"))+SUMPRODUCT(--(LEFT($X$24:X43,7)="   • XL")))+IF(NOT(QUOTE_Split_SoftwareHardware),MAX($B$24:$B$54),0),"")</f>
        <v/>
      </c>
      <c r="V43" s="82" t="str">
        <f>IF(IFERROR(SEARCH("% discount on",QCalc!$AE22),0)=0,
IF(NOT(QUOTE_Split_SoftwareHardware),QCalc!Q53,QCalc!AE22),"")</f>
        <v/>
      </c>
      <c r="W43" s="82" t="str">
        <f t="shared" si="4"/>
        <v/>
      </c>
      <c r="X43" s="823" t="str">
        <f>IF(IFERROR(SEARCH("% discount on",QCalc!$AE22),0)=0,
IF(NOT(QUOTE_Split_SoftwareHardware),QCalc!N53,QCalc!AB22),"")</f>
        <v/>
      </c>
      <c r="Y43" s="823"/>
      <c r="Z43" s="823"/>
      <c r="AA43" s="823"/>
      <c r="AB43" s="823"/>
      <c r="AC43" s="823"/>
      <c r="AD43" s="823"/>
      <c r="AE43" s="823"/>
      <c r="AF43" s="823"/>
      <c r="AG43" s="823"/>
      <c r="AH43" s="824" t="str">
        <f>IF(NOT(QUOTE_Split_SoftwareHardware),QCalc!O53,QCalc!AC22)</f>
        <v/>
      </c>
      <c r="AI43" s="825"/>
      <c r="AJ43" s="176"/>
      <c r="AK43" s="177"/>
    </row>
    <row r="44" spans="1:37" ht="11" customHeight="1" x14ac:dyDescent="0.2">
      <c r="A44" s="84"/>
      <c r="B44" s="73" t="str">
        <f>IF(AND(C44&gt;0,C44&lt;&gt;"",AND(LEFT(E44,7)&lt;&gt;"   • Wi",LEFT(E44,7)&lt;&gt;"   • XL")),COUNT($C$24:C44)-(SUMPRODUCT(--(LEFT($E$24:E44,7)="   • Wi"))+SUMPRODUCT(--(LEFT($E$24:E44,7)="   • XL"))),"")</f>
        <v/>
      </c>
      <c r="C44" s="82" t="str">
        <f>IF(IFERROR(SEARCH("% discount on",QCalc!$N23),0)=0,
IF(NOT(QUOTE_Split_SoftwareHardware),QCalc!Q23,QCalc!X23),"")</f>
        <v/>
      </c>
      <c r="D44" s="82" t="str">
        <f t="shared" si="3"/>
        <v/>
      </c>
      <c r="E44" s="822" t="str">
        <f>IF(IFERROR(SEARCH("% discount on",QCalc!$N23),0)=0,
IF(NOT(QUOTE_Split_SoftwareHardware),QCalc!N23,QCalc!U23),"")</f>
        <v/>
      </c>
      <c r="F44" s="823"/>
      <c r="G44" s="823"/>
      <c r="H44" s="823"/>
      <c r="I44" s="823"/>
      <c r="J44" s="823"/>
      <c r="K44" s="823"/>
      <c r="L44" s="823"/>
      <c r="M44" s="823"/>
      <c r="N44" s="823"/>
      <c r="O44" s="824" t="str">
        <f>IF(NOT(QUOTE_Split_SoftwareHardware),QCalc!O23,QCalc!V23)</f>
        <v/>
      </c>
      <c r="P44" s="825"/>
      <c r="Q44" s="176"/>
      <c r="R44" s="177"/>
      <c r="T44" s="84"/>
      <c r="U44" s="73" t="str">
        <f>IF(AND(V44&gt;0,V44&lt;&gt;"",AND(LEFT(X44,7)&lt;&gt;"   • Wi",LEFT(X44,7)&lt;&gt;"   • XL")),COUNT($V$24:V44)-(SUMPRODUCT(--(LEFT($X$24:X44,7)="   • Wi"))+SUMPRODUCT(--(LEFT($X$24:X44,7)="   • XL")))+IF(NOT(QUOTE_Split_SoftwareHardware),MAX($B$24:$B$54),0),"")</f>
        <v/>
      </c>
      <c r="V44" s="82" t="str">
        <f>IF(IFERROR(SEARCH("% discount on",QCalc!$AE23),0)=0,
IF(NOT(QUOTE_Split_SoftwareHardware),QCalc!Q54,QCalc!AE23),"")</f>
        <v/>
      </c>
      <c r="W44" s="82" t="str">
        <f t="shared" si="4"/>
        <v/>
      </c>
      <c r="X44" s="823" t="str">
        <f>IF(IFERROR(SEARCH("% discount on",QCalc!$AE23),0)=0,
IF(NOT(QUOTE_Split_SoftwareHardware),QCalc!N54,QCalc!AB23),"")</f>
        <v/>
      </c>
      <c r="Y44" s="823"/>
      <c r="Z44" s="823"/>
      <c r="AA44" s="823"/>
      <c r="AB44" s="823"/>
      <c r="AC44" s="823"/>
      <c r="AD44" s="823"/>
      <c r="AE44" s="823"/>
      <c r="AF44" s="823"/>
      <c r="AG44" s="823"/>
      <c r="AH44" s="824" t="str">
        <f>IF(NOT(QUOTE_Split_SoftwareHardware),QCalc!O54,QCalc!AC23)</f>
        <v/>
      </c>
      <c r="AI44" s="825"/>
      <c r="AJ44" s="176"/>
      <c r="AK44" s="177"/>
    </row>
    <row r="45" spans="1:37" ht="11" customHeight="1" x14ac:dyDescent="0.2">
      <c r="A45" s="84"/>
      <c r="B45" s="73" t="str">
        <f>IF(AND(C45&gt;0,C45&lt;&gt;"",AND(LEFT(E45,7)&lt;&gt;"   • Wi",LEFT(E45,7)&lt;&gt;"   • XL")),COUNT($C$24:C45)-(SUMPRODUCT(--(LEFT($E$24:E45,7)="   • Wi"))+SUMPRODUCT(--(LEFT($E$24:E45,7)="   • XL"))),"")</f>
        <v/>
      </c>
      <c r="C45" s="82" t="str">
        <f>IF(IFERROR(SEARCH("% discount on",QCalc!$N24),0)=0,
IF(NOT(QUOTE_Split_SoftwareHardware),QCalc!Q24,QCalc!X24),"")</f>
        <v/>
      </c>
      <c r="D45" s="82" t="str">
        <f t="shared" si="3"/>
        <v/>
      </c>
      <c r="E45" s="822" t="str">
        <f>IF(IFERROR(SEARCH("% discount on",QCalc!$N24),0)=0,
IF(NOT(QUOTE_Split_SoftwareHardware),QCalc!N24,QCalc!U24),"")</f>
        <v/>
      </c>
      <c r="F45" s="823"/>
      <c r="G45" s="823"/>
      <c r="H45" s="823"/>
      <c r="I45" s="823"/>
      <c r="J45" s="823"/>
      <c r="K45" s="823"/>
      <c r="L45" s="823"/>
      <c r="M45" s="823"/>
      <c r="N45" s="823"/>
      <c r="O45" s="824" t="str">
        <f>IF(NOT(QUOTE_Split_SoftwareHardware),QCalc!O24,QCalc!V24)</f>
        <v/>
      </c>
      <c r="P45" s="825"/>
      <c r="Q45" s="176"/>
      <c r="R45" s="177"/>
      <c r="T45" s="84"/>
      <c r="U45" s="73" t="str">
        <f>IF(AND(V45&gt;0,V45&lt;&gt;"",AND(LEFT(X45,7)&lt;&gt;"   • Wi",LEFT(X45,7)&lt;&gt;"   • XL")),COUNT($V$24:V45)-(SUMPRODUCT(--(LEFT($X$24:X45,7)="   • Wi"))+SUMPRODUCT(--(LEFT($X$24:X45,7)="   • XL")))+IF(NOT(QUOTE_Split_SoftwareHardware),MAX($B$24:$B$54),0),"")</f>
        <v/>
      </c>
      <c r="V45" s="82" t="str">
        <f>IF(IFERROR(SEARCH("% discount on",QCalc!$AE24),0)=0,
IF(NOT(QUOTE_Split_SoftwareHardware),QCalc!Q55,QCalc!AE24),"")</f>
        <v/>
      </c>
      <c r="W45" s="82" t="str">
        <f t="shared" si="4"/>
        <v/>
      </c>
      <c r="X45" s="823" t="str">
        <f>IF(IFERROR(SEARCH("% discount on",QCalc!$AE24),0)=0,
IF(NOT(QUOTE_Split_SoftwareHardware),QCalc!N55,QCalc!AB24),"")</f>
        <v/>
      </c>
      <c r="Y45" s="823"/>
      <c r="Z45" s="823"/>
      <c r="AA45" s="823"/>
      <c r="AB45" s="823"/>
      <c r="AC45" s="823"/>
      <c r="AD45" s="823"/>
      <c r="AE45" s="823"/>
      <c r="AF45" s="823"/>
      <c r="AG45" s="823"/>
      <c r="AH45" s="824" t="str">
        <f>IF(NOT(QUOTE_Split_SoftwareHardware),QCalc!O55,QCalc!AC24)</f>
        <v/>
      </c>
      <c r="AI45" s="825"/>
      <c r="AJ45" s="176"/>
      <c r="AK45" s="177"/>
    </row>
    <row r="46" spans="1:37" ht="11" customHeight="1" x14ac:dyDescent="0.2">
      <c r="A46" s="84"/>
      <c r="B46" s="73" t="str">
        <f>IF(AND(C46&gt;0,C46&lt;&gt;"",AND(LEFT(E46,7)&lt;&gt;"   • Wi",LEFT(E46,7)&lt;&gt;"   • XL")),COUNT($C$24:C46)-(SUMPRODUCT(--(LEFT($E$24:E46,7)="   • Wi"))+SUMPRODUCT(--(LEFT($E$24:E46,7)="   • XL"))),"")</f>
        <v/>
      </c>
      <c r="C46" s="82" t="str">
        <f>IF(IFERROR(SEARCH("% discount on",QCalc!$N25),0)=0,
IF(NOT(QUOTE_Split_SoftwareHardware),QCalc!Q25,QCalc!X25),"")</f>
        <v/>
      </c>
      <c r="D46" s="82" t="str">
        <f t="shared" si="3"/>
        <v/>
      </c>
      <c r="E46" s="822" t="str">
        <f>IF(IFERROR(SEARCH("% discount on",QCalc!$N25),0)=0,
IF(NOT(QUOTE_Split_SoftwareHardware),QCalc!N25,QCalc!U25),"")</f>
        <v/>
      </c>
      <c r="F46" s="823"/>
      <c r="G46" s="823"/>
      <c r="H46" s="823"/>
      <c r="I46" s="823"/>
      <c r="J46" s="823"/>
      <c r="K46" s="823"/>
      <c r="L46" s="823"/>
      <c r="M46" s="823"/>
      <c r="N46" s="823"/>
      <c r="O46" s="824" t="str">
        <f>IF(NOT(QUOTE_Split_SoftwareHardware),QCalc!O25,QCalc!V25)</f>
        <v/>
      </c>
      <c r="P46" s="825"/>
      <c r="Q46" s="176"/>
      <c r="R46" s="177"/>
      <c r="T46" s="84"/>
      <c r="U46" s="73" t="str">
        <f>IF(AND(V46&gt;0,V46&lt;&gt;"",AND(LEFT(X46,7)&lt;&gt;"   • Wi",LEFT(X46,7)&lt;&gt;"   • XL")),COUNT($V$24:V46)-(SUMPRODUCT(--(LEFT($X$24:X46,7)="   • Wi"))+SUMPRODUCT(--(LEFT($X$24:X46,7)="   • XL")))+IF(NOT(QUOTE_Split_SoftwareHardware),MAX($B$24:$B$54),0),"")</f>
        <v/>
      </c>
      <c r="V46" s="82" t="str">
        <f>IF(IFERROR(SEARCH("% discount on",QCalc!$AE25),0)=0,
IF(NOT(QUOTE_Split_SoftwareHardware),QCalc!Q56,QCalc!AE25),"")</f>
        <v/>
      </c>
      <c r="W46" s="82" t="str">
        <f t="shared" si="4"/>
        <v/>
      </c>
      <c r="X46" s="823" t="str">
        <f>IF(IFERROR(SEARCH("% discount on",QCalc!$AE25),0)=0,
IF(NOT(QUOTE_Split_SoftwareHardware),QCalc!N56,QCalc!AB25),"")</f>
        <v/>
      </c>
      <c r="Y46" s="823"/>
      <c r="Z46" s="823"/>
      <c r="AA46" s="823"/>
      <c r="AB46" s="823"/>
      <c r="AC46" s="823"/>
      <c r="AD46" s="823"/>
      <c r="AE46" s="823"/>
      <c r="AF46" s="823"/>
      <c r="AG46" s="823"/>
      <c r="AH46" s="824" t="str">
        <f>IF(NOT(QUOTE_Split_SoftwareHardware),QCalc!O56,QCalc!AC25)</f>
        <v/>
      </c>
      <c r="AI46" s="825"/>
      <c r="AJ46" s="176"/>
      <c r="AK46" s="177"/>
    </row>
    <row r="47" spans="1:37" ht="11" customHeight="1" x14ac:dyDescent="0.2">
      <c r="A47" s="84"/>
      <c r="B47" s="73" t="str">
        <f>IF(AND(C47&gt;0,C47&lt;&gt;"",AND(LEFT(E47,7)&lt;&gt;"   • Wi",LEFT(E47,7)&lt;&gt;"   • XL")),COUNT($C$24:C47)-(SUMPRODUCT(--(LEFT($E$24:E47,7)="   • Wi"))+SUMPRODUCT(--(LEFT($E$24:E47,7)="   • XL"))),"")</f>
        <v/>
      </c>
      <c r="C47" s="82" t="str">
        <f>IF(IFERROR(SEARCH("% discount on",QCalc!$N26),0)=0,
IF(NOT(QUOTE_Split_SoftwareHardware),QCalc!Q26,QCalc!X26),"")</f>
        <v/>
      </c>
      <c r="D47" s="82" t="str">
        <f t="shared" si="3"/>
        <v/>
      </c>
      <c r="E47" s="822" t="str">
        <f>IF(IFERROR(SEARCH("% discount on",QCalc!$N26),0)=0,
IF(NOT(QUOTE_Split_SoftwareHardware),QCalc!N26,QCalc!U26),"")</f>
        <v/>
      </c>
      <c r="F47" s="823"/>
      <c r="G47" s="823"/>
      <c r="H47" s="823"/>
      <c r="I47" s="823"/>
      <c r="J47" s="823"/>
      <c r="K47" s="823"/>
      <c r="L47" s="823"/>
      <c r="M47" s="823"/>
      <c r="N47" s="823"/>
      <c r="O47" s="824" t="str">
        <f>IF(NOT(QUOTE_Split_SoftwareHardware),QCalc!O26,QCalc!V26)</f>
        <v/>
      </c>
      <c r="P47" s="825"/>
      <c r="Q47" s="176"/>
      <c r="R47" s="177"/>
      <c r="T47" s="84"/>
      <c r="U47" s="73" t="str">
        <f>IF(AND(V47&gt;0,V47&lt;&gt;"",AND(LEFT(X47,7)&lt;&gt;"   • Wi",LEFT(X47,7)&lt;&gt;"   • XL")),COUNT($V$24:V47)-(SUMPRODUCT(--(LEFT($X$24:X47,7)="   • Wi"))+SUMPRODUCT(--(LEFT($X$24:X47,7)="   • XL")))+IF(NOT(QUOTE_Split_SoftwareHardware),MAX($B$24:$B$54),0),"")</f>
        <v/>
      </c>
      <c r="V47" s="82" t="str">
        <f>IF(IFERROR(SEARCH("% discount on",QCalc!$AE26),0)=0,
IF(NOT(QUOTE_Split_SoftwareHardware),QCalc!Q57,QCalc!AE26),"")</f>
        <v/>
      </c>
      <c r="W47" s="82" t="str">
        <f t="shared" si="4"/>
        <v/>
      </c>
      <c r="X47" s="823" t="str">
        <f>IF(IFERROR(SEARCH("% discount on",QCalc!$AE26),0)=0,
IF(NOT(QUOTE_Split_SoftwareHardware),QCalc!N57,QCalc!AB26),"")</f>
        <v/>
      </c>
      <c r="Y47" s="823"/>
      <c r="Z47" s="823"/>
      <c r="AA47" s="823"/>
      <c r="AB47" s="823"/>
      <c r="AC47" s="823"/>
      <c r="AD47" s="823"/>
      <c r="AE47" s="823"/>
      <c r="AF47" s="823"/>
      <c r="AG47" s="823"/>
      <c r="AH47" s="824" t="str">
        <f>IF(NOT(QUOTE_Split_SoftwareHardware),QCalc!O57,QCalc!AC26)</f>
        <v/>
      </c>
      <c r="AI47" s="825"/>
      <c r="AJ47" s="176"/>
      <c r="AK47" s="177"/>
    </row>
    <row r="48" spans="1:37" ht="11" customHeight="1" x14ac:dyDescent="0.2">
      <c r="A48" s="84"/>
      <c r="B48" s="73" t="str">
        <f>IF(AND(C48&gt;0,C48&lt;&gt;"",AND(LEFT(E48,7)&lt;&gt;"   • Wi",LEFT(E48,7)&lt;&gt;"   • XL")),COUNT($C$24:C48)-(SUMPRODUCT(--(LEFT($E$24:E48,7)="   • Wi"))+SUMPRODUCT(--(LEFT($E$24:E48,7)="   • XL"))),"")</f>
        <v/>
      </c>
      <c r="C48" s="82" t="str">
        <f>IF(IFERROR(SEARCH("% discount on",QCalc!$N27),0)=0,
IF(NOT(QUOTE_Split_SoftwareHardware),QCalc!Q27,QCalc!X27),"")</f>
        <v/>
      </c>
      <c r="D48" s="82" t="str">
        <f t="shared" si="3"/>
        <v/>
      </c>
      <c r="E48" s="822" t="str">
        <f>IF(IFERROR(SEARCH("% discount on",QCalc!$N27),0)=0,
IF(NOT(QUOTE_Split_SoftwareHardware),QCalc!N27,QCalc!U27),"")</f>
        <v/>
      </c>
      <c r="F48" s="823"/>
      <c r="G48" s="823"/>
      <c r="H48" s="823"/>
      <c r="I48" s="823"/>
      <c r="J48" s="823"/>
      <c r="K48" s="823"/>
      <c r="L48" s="823"/>
      <c r="M48" s="823"/>
      <c r="N48" s="823"/>
      <c r="O48" s="824" t="str">
        <f>IF(NOT(QUOTE_Split_SoftwareHardware),QCalc!O27,QCalc!V27)</f>
        <v/>
      </c>
      <c r="P48" s="825"/>
      <c r="Q48" s="176"/>
      <c r="R48" s="177"/>
      <c r="T48" s="84"/>
      <c r="U48" s="73" t="str">
        <f>IF(AND(V48&gt;0,V48&lt;&gt;"",AND(LEFT(X48,7)&lt;&gt;"   • Wi",LEFT(X48,7)&lt;&gt;"   • XL")),COUNT($V$24:V48)-(SUMPRODUCT(--(LEFT($X$24:X48,7)="   • Wi"))+SUMPRODUCT(--(LEFT($X$24:X48,7)="   • XL")))+IF(NOT(QUOTE_Split_SoftwareHardware),MAX($B$24:$B$54),0),"")</f>
        <v/>
      </c>
      <c r="V48" s="82" t="str">
        <f>IF(IFERROR(SEARCH("% discount on",QCalc!$AE27),0)=0,
IF(NOT(QUOTE_Split_SoftwareHardware),QCalc!Q58,QCalc!AE27),"")</f>
        <v/>
      </c>
      <c r="W48" s="82" t="str">
        <f t="shared" si="4"/>
        <v/>
      </c>
      <c r="X48" s="823" t="str">
        <f>IF(IFERROR(SEARCH("% discount on",QCalc!$AE27),0)=0,
IF(NOT(QUOTE_Split_SoftwareHardware),QCalc!N58,QCalc!AB27),"")</f>
        <v/>
      </c>
      <c r="Y48" s="823"/>
      <c r="Z48" s="823"/>
      <c r="AA48" s="823"/>
      <c r="AB48" s="823"/>
      <c r="AC48" s="823"/>
      <c r="AD48" s="823"/>
      <c r="AE48" s="823"/>
      <c r="AF48" s="823"/>
      <c r="AG48" s="823"/>
      <c r="AH48" s="824" t="str">
        <f>IF(NOT(QUOTE_Split_SoftwareHardware),QCalc!O58,QCalc!AC27)</f>
        <v/>
      </c>
      <c r="AI48" s="825"/>
      <c r="AJ48" s="176"/>
      <c r="AK48" s="177"/>
    </row>
    <row r="49" spans="1:37" ht="11" customHeight="1" x14ac:dyDescent="0.2">
      <c r="A49" s="84"/>
      <c r="B49" s="73" t="str">
        <f>IF(AND(C49&gt;0,C49&lt;&gt;"",AND(LEFT(E49,7)&lt;&gt;"   • Wi",LEFT(E49,7)&lt;&gt;"   • XL")),COUNT($C$24:C49)-(SUMPRODUCT(--(LEFT($E$24:E49,7)="   • Wi"))+SUMPRODUCT(--(LEFT($E$24:E49,7)="   • XL"))),"")</f>
        <v/>
      </c>
      <c r="C49" s="82" t="str">
        <f>IF(IFERROR(SEARCH("% discount on",QCalc!$N28),0)=0,
IF(NOT(QUOTE_Split_SoftwareHardware),QCalc!Q28,QCalc!X28),"")</f>
        <v/>
      </c>
      <c r="D49" s="82" t="str">
        <f t="shared" si="3"/>
        <v/>
      </c>
      <c r="E49" s="822" t="str">
        <f>IF(IFERROR(SEARCH("% discount on",QCalc!$N28),0)=0,
IF(NOT(QUOTE_Split_SoftwareHardware),QCalc!N28,QCalc!U28),"")</f>
        <v/>
      </c>
      <c r="F49" s="823"/>
      <c r="G49" s="823"/>
      <c r="H49" s="823"/>
      <c r="I49" s="823"/>
      <c r="J49" s="823"/>
      <c r="K49" s="823"/>
      <c r="L49" s="823"/>
      <c r="M49" s="823"/>
      <c r="N49" s="823"/>
      <c r="O49" s="824" t="str">
        <f>IF(NOT(QUOTE_Split_SoftwareHardware),QCalc!O28,QCalc!V28)</f>
        <v/>
      </c>
      <c r="P49" s="825"/>
      <c r="Q49" s="176"/>
      <c r="R49" s="177"/>
      <c r="T49" s="84"/>
      <c r="U49" s="73" t="str">
        <f>IF(AND(V49&gt;0,V49&lt;&gt;"",AND(LEFT(X49,7)&lt;&gt;"   • Wi",LEFT(X49,7)&lt;&gt;"   • XL")),COUNT($V$24:V49)-(SUMPRODUCT(--(LEFT($X$24:X49,7)="   • Wi"))+SUMPRODUCT(--(LEFT($X$24:X49,7)="   • XL")))+IF(NOT(QUOTE_Split_SoftwareHardware),MAX($B$24:$B$54),0),"")</f>
        <v/>
      </c>
      <c r="V49" s="82" t="str">
        <f>IF(IFERROR(SEARCH("% discount on",QCalc!$AE28),0)=0,
IF(NOT(QUOTE_Split_SoftwareHardware),QCalc!Q59,QCalc!AE28),"")</f>
        <v/>
      </c>
      <c r="W49" s="82" t="str">
        <f t="shared" si="4"/>
        <v/>
      </c>
      <c r="X49" s="823" t="str">
        <f>IF(IFERROR(SEARCH("% discount on",QCalc!$AE28),0)=0,
IF(NOT(QUOTE_Split_SoftwareHardware),QCalc!N59,QCalc!AB28),"")</f>
        <v/>
      </c>
      <c r="Y49" s="823"/>
      <c r="Z49" s="823"/>
      <c r="AA49" s="823"/>
      <c r="AB49" s="823"/>
      <c r="AC49" s="823"/>
      <c r="AD49" s="823"/>
      <c r="AE49" s="823"/>
      <c r="AF49" s="823"/>
      <c r="AG49" s="823"/>
      <c r="AH49" s="824" t="str">
        <f>IF(NOT(QUOTE_Split_SoftwareHardware),QCalc!O59,QCalc!AC28)</f>
        <v/>
      </c>
      <c r="AI49" s="825"/>
      <c r="AJ49" s="176"/>
      <c r="AK49" s="177"/>
    </row>
    <row r="50" spans="1:37" ht="11" customHeight="1" x14ac:dyDescent="0.2">
      <c r="A50" s="84"/>
      <c r="B50" s="73" t="str">
        <f>IF(AND(C50&gt;0,C50&lt;&gt;"",AND(LEFT(E50,7)&lt;&gt;"   • Wi",LEFT(E50,7)&lt;&gt;"   • XL")),COUNT($C$24:C50)-(SUMPRODUCT(--(LEFT($E$24:E50,7)="   • Wi"))+SUMPRODUCT(--(LEFT($E$24:E50,7)="   • XL"))),"")</f>
        <v/>
      </c>
      <c r="C50" s="82" t="str">
        <f>IF(IFERROR(SEARCH("% discount on",QCalc!$N29),0)=0,
IF(NOT(QUOTE_Split_SoftwareHardware),QCalc!Q29,QCalc!X29),"")</f>
        <v/>
      </c>
      <c r="D50" s="82" t="str">
        <f t="shared" si="3"/>
        <v/>
      </c>
      <c r="E50" s="822" t="str">
        <f>IF(IFERROR(SEARCH("% discount on",QCalc!$N29),0)=0,
IF(NOT(QUOTE_Split_SoftwareHardware),QCalc!N29,QCalc!U29),"")</f>
        <v/>
      </c>
      <c r="F50" s="823"/>
      <c r="G50" s="823"/>
      <c r="H50" s="823"/>
      <c r="I50" s="823"/>
      <c r="J50" s="823"/>
      <c r="K50" s="823"/>
      <c r="L50" s="823"/>
      <c r="M50" s="823"/>
      <c r="N50" s="823"/>
      <c r="O50" s="824" t="str">
        <f>IF(NOT(QUOTE_Split_SoftwareHardware),QCalc!O29,QCalc!V29)</f>
        <v/>
      </c>
      <c r="P50" s="825"/>
      <c r="Q50" s="176"/>
      <c r="R50" s="177"/>
      <c r="T50" s="84"/>
      <c r="U50" s="73" t="str">
        <f>IF(AND(V50&gt;0,V50&lt;&gt;"",AND(LEFT(X50,7)&lt;&gt;"   • Wi",LEFT(X50,7)&lt;&gt;"   • XL")),COUNT($V$24:V50)-(SUMPRODUCT(--(LEFT($X$24:X50,7)="   • Wi"))+SUMPRODUCT(--(LEFT($X$24:X50,7)="   • XL")))+IF(NOT(QUOTE_Split_SoftwareHardware),MAX($B$24:$B$54),0),"")</f>
        <v/>
      </c>
      <c r="V50" s="82" t="str">
        <f>IF(IFERROR(SEARCH("% discount on",QCalc!$AE29),0)=0,
IF(NOT(QUOTE_Split_SoftwareHardware),QCalc!Q60,QCalc!AE29),"")</f>
        <v/>
      </c>
      <c r="W50" s="82" t="str">
        <f t="shared" si="4"/>
        <v/>
      </c>
      <c r="X50" s="823" t="str">
        <f>IF(IFERROR(SEARCH("% discount on",QCalc!$AE29),0)=0,
IF(NOT(QUOTE_Split_SoftwareHardware),QCalc!N60,QCalc!AB29),"")</f>
        <v/>
      </c>
      <c r="Y50" s="823"/>
      <c r="Z50" s="823"/>
      <c r="AA50" s="823"/>
      <c r="AB50" s="823"/>
      <c r="AC50" s="823"/>
      <c r="AD50" s="823"/>
      <c r="AE50" s="823"/>
      <c r="AF50" s="823"/>
      <c r="AG50" s="823"/>
      <c r="AH50" s="824" t="str">
        <f>IF(NOT(QUOTE_Split_SoftwareHardware),QCalc!O60,QCalc!AC29)</f>
        <v/>
      </c>
      <c r="AI50" s="825"/>
      <c r="AJ50" s="176"/>
      <c r="AK50" s="177"/>
    </row>
    <row r="51" spans="1:37" ht="11" customHeight="1" x14ac:dyDescent="0.2">
      <c r="A51" s="84"/>
      <c r="B51" s="73" t="str">
        <f>IF(AND(C51&gt;0,C51&lt;&gt;"",AND(LEFT(E51,7)&lt;&gt;"   • Wi",LEFT(E51,7)&lt;&gt;"   • XL")),COUNT($C$24:C51)-(SUMPRODUCT(--(LEFT($E$24:E51,7)="   • Wi"))+SUMPRODUCT(--(LEFT($E$24:E51,7)="   • XL"))),"")</f>
        <v/>
      </c>
      <c r="C51" s="82" t="str">
        <f>IF(IFERROR(SEARCH("% discount on",QCalc!$N30),0)=0,
IF(NOT(QUOTE_Split_SoftwareHardware),QCalc!Q30,QCalc!X30),"")</f>
        <v/>
      </c>
      <c r="D51" s="82" t="str">
        <f t="shared" si="3"/>
        <v/>
      </c>
      <c r="E51" s="822" t="str">
        <f>IF(IFERROR(SEARCH("% discount on",QCalc!$N30),0)=0,
IF(NOT(QUOTE_Split_SoftwareHardware),QCalc!N30,QCalc!U30),"")</f>
        <v/>
      </c>
      <c r="F51" s="823"/>
      <c r="G51" s="823"/>
      <c r="H51" s="823"/>
      <c r="I51" s="823"/>
      <c r="J51" s="823"/>
      <c r="K51" s="823"/>
      <c r="L51" s="823"/>
      <c r="M51" s="823"/>
      <c r="N51" s="823"/>
      <c r="O51" s="824" t="str">
        <f>IF(NOT(QUOTE_Split_SoftwareHardware),QCalc!O30,QCalc!V30)</f>
        <v/>
      </c>
      <c r="P51" s="825"/>
      <c r="Q51" s="176"/>
      <c r="R51" s="177"/>
      <c r="T51" s="84"/>
      <c r="U51" s="73" t="str">
        <f>IF(AND(V51&gt;0,V51&lt;&gt;"",AND(LEFT(X51,7)&lt;&gt;"   • Wi",LEFT(X51,7)&lt;&gt;"   • XL")),COUNT($V$24:V51)-(SUMPRODUCT(--(LEFT($X$24:X51,7)="   • Wi"))+SUMPRODUCT(--(LEFT($X$24:X51,7)="   • XL")))+IF(NOT(QUOTE_Split_SoftwareHardware),MAX($B$24:$B$54),0),"")</f>
        <v/>
      </c>
      <c r="V51" s="82" t="str">
        <f>IF(IFERROR(SEARCH("% discount on",QCalc!$AE30),0)=0,
IF(NOT(QUOTE_Split_SoftwareHardware),QCalc!Q61,QCalc!AE30),"")</f>
        <v/>
      </c>
      <c r="W51" s="82" t="str">
        <f t="shared" si="4"/>
        <v/>
      </c>
      <c r="X51" s="823" t="str">
        <f>IF(IFERROR(SEARCH("% discount on",QCalc!$AE30),0)=0,
IF(NOT(QUOTE_Split_SoftwareHardware),QCalc!N61,QCalc!AB30),"")</f>
        <v/>
      </c>
      <c r="Y51" s="823"/>
      <c r="Z51" s="823"/>
      <c r="AA51" s="823"/>
      <c r="AB51" s="823"/>
      <c r="AC51" s="823"/>
      <c r="AD51" s="823"/>
      <c r="AE51" s="823"/>
      <c r="AF51" s="823"/>
      <c r="AG51" s="823"/>
      <c r="AH51" s="824" t="str">
        <f>IF(NOT(QUOTE_Split_SoftwareHardware),QCalc!O61,QCalc!AC30)</f>
        <v/>
      </c>
      <c r="AI51" s="825"/>
      <c r="AJ51" s="176"/>
      <c r="AK51" s="177"/>
    </row>
    <row r="52" spans="1:37" ht="11" customHeight="1" x14ac:dyDescent="0.2">
      <c r="A52" s="84"/>
      <c r="B52" s="73" t="str">
        <f>IF(AND(C52&gt;0,C52&lt;&gt;"",AND(LEFT(E52,7)&lt;&gt;"   • Wi",LEFT(E52,7)&lt;&gt;"   • XL")),COUNT($C$24:C52)-(SUMPRODUCT(--(LEFT($E$24:E52,7)="   • Wi"))+SUMPRODUCT(--(LEFT($E$24:E52,7)="   • XL"))),"")</f>
        <v/>
      </c>
      <c r="C52" s="82" t="str">
        <f>IF(IFERROR(SEARCH("% discount on",QCalc!$N31),0)=0,
IF(NOT(QUOTE_Split_SoftwareHardware),QCalc!Q31,QCalc!X31),"")</f>
        <v/>
      </c>
      <c r="D52" s="82" t="str">
        <f t="shared" si="3"/>
        <v/>
      </c>
      <c r="E52" s="822" t="str">
        <f>IF(IFERROR(SEARCH("% discount on",QCalc!$N31),0)=0,
IF(NOT(QUOTE_Split_SoftwareHardware),QCalc!N31,QCalc!U31),"")</f>
        <v/>
      </c>
      <c r="F52" s="823"/>
      <c r="G52" s="823"/>
      <c r="H52" s="823"/>
      <c r="I52" s="823"/>
      <c r="J52" s="823"/>
      <c r="K52" s="823"/>
      <c r="L52" s="823"/>
      <c r="M52" s="823"/>
      <c r="N52" s="823"/>
      <c r="O52" s="824" t="str">
        <f>IF(NOT(QUOTE_Split_SoftwareHardware),QCalc!O31,QCalc!V31)</f>
        <v/>
      </c>
      <c r="P52" s="825"/>
      <c r="Q52" s="176"/>
      <c r="R52" s="177"/>
      <c r="T52" s="84"/>
      <c r="U52" s="73" t="str">
        <f>IF(AND(V52&gt;0,V52&lt;&gt;"",AND(LEFT(X52,7)&lt;&gt;"   • Wi",LEFT(X52,7)&lt;&gt;"   • XL")),COUNT($V$24:V52)-(SUMPRODUCT(--(LEFT($X$24:X52,7)="   • Wi"))+SUMPRODUCT(--(LEFT($X$24:X52,7)="   • XL")))+IF(NOT(QUOTE_Split_SoftwareHardware),MAX($B$24:$B$54),0),"")</f>
        <v/>
      </c>
      <c r="V52" s="82" t="str">
        <f>IF(IFERROR(SEARCH("% discount on",QCalc!$AE31),0)=0,
IF(NOT(QUOTE_Split_SoftwareHardware),QCalc!Q62,QCalc!AE31),"")</f>
        <v/>
      </c>
      <c r="W52" s="82" t="str">
        <f t="shared" si="4"/>
        <v/>
      </c>
      <c r="X52" s="823" t="str">
        <f>IF(IFERROR(SEARCH("% discount on",QCalc!$AE31),0)=0,
IF(NOT(QUOTE_Split_SoftwareHardware),QCalc!N62,QCalc!AB31),"")</f>
        <v/>
      </c>
      <c r="Y52" s="823"/>
      <c r="Z52" s="823"/>
      <c r="AA52" s="823"/>
      <c r="AB52" s="823"/>
      <c r="AC52" s="823"/>
      <c r="AD52" s="823"/>
      <c r="AE52" s="823"/>
      <c r="AF52" s="823"/>
      <c r="AG52" s="823"/>
      <c r="AH52" s="824" t="str">
        <f>IF(NOT(QUOTE_Split_SoftwareHardware),QCalc!O62,QCalc!AC31)</f>
        <v/>
      </c>
      <c r="AI52" s="825"/>
      <c r="AJ52" s="176"/>
      <c r="AK52" s="177"/>
    </row>
    <row r="53" spans="1:37" ht="11" customHeight="1" x14ac:dyDescent="0.2">
      <c r="A53" s="84"/>
      <c r="B53" s="73" t="str">
        <f>IF(AND(C53&gt;0,C53&lt;&gt;"",AND(LEFT(E53,7)&lt;&gt;"   • Wi",LEFT(E53,7)&lt;&gt;"   • XL")),COUNT($C$24:C53)-(SUMPRODUCT(--(LEFT($E$24:E53,7)="   • Wi"))+SUMPRODUCT(--(LEFT($E$24:E53,7)="   • XL"))),"")</f>
        <v/>
      </c>
      <c r="C53" s="82" t="str">
        <f>IF(IFERROR(SEARCH("% discount on",QCalc!$N32),0)=0,
IF(NOT(QUOTE_Split_SoftwareHardware),QCalc!Q32,QCalc!X32),"")</f>
        <v/>
      </c>
      <c r="D53" s="82" t="str">
        <f t="shared" si="3"/>
        <v/>
      </c>
      <c r="E53" s="822" t="str">
        <f>IF(IFERROR(SEARCH("% discount on",QCalc!$N32),0)=0,
IF(NOT(QUOTE_Split_SoftwareHardware),QCalc!N32,QCalc!U32),"")</f>
        <v/>
      </c>
      <c r="F53" s="823"/>
      <c r="G53" s="823"/>
      <c r="H53" s="823"/>
      <c r="I53" s="823"/>
      <c r="J53" s="823"/>
      <c r="K53" s="823"/>
      <c r="L53" s="823"/>
      <c r="M53" s="823"/>
      <c r="N53" s="823"/>
      <c r="O53" s="824" t="str">
        <f>IF(NOT(QUOTE_Split_SoftwareHardware),QCalc!O32,QCalc!V32)</f>
        <v/>
      </c>
      <c r="P53" s="825"/>
      <c r="Q53" s="176"/>
      <c r="R53" s="177"/>
      <c r="T53" s="84"/>
      <c r="U53" s="73" t="str">
        <f>IF(AND(V53&gt;0,V53&lt;&gt;"",AND(LEFT(X53,7)&lt;&gt;"   • Wi",LEFT(X53,7)&lt;&gt;"   • XL")),COUNT($V$24:V53)-(SUMPRODUCT(--(LEFT($X$24:X53,7)="   • Wi"))+SUMPRODUCT(--(LEFT($X$24:X53,7)="   • XL")))+IF(NOT(QUOTE_Split_SoftwareHardware),MAX($B$24:$B$54),0),"")</f>
        <v/>
      </c>
      <c r="V53" s="82" t="str">
        <f>IF(IFERROR(SEARCH("% discount on",QCalc!$AE32),0)=0,
IF(NOT(QUOTE_Split_SoftwareHardware),QCalc!Q63,QCalc!AE32),"")</f>
        <v/>
      </c>
      <c r="W53" s="82" t="str">
        <f t="shared" si="4"/>
        <v/>
      </c>
      <c r="X53" s="823" t="str">
        <f>IF(IFERROR(SEARCH("% discount on",QCalc!$AE32),0)=0,
IF(NOT(QUOTE_Split_SoftwareHardware),QCalc!N63,QCalc!AB32),"")</f>
        <v/>
      </c>
      <c r="Y53" s="823"/>
      <c r="Z53" s="823"/>
      <c r="AA53" s="823"/>
      <c r="AB53" s="823"/>
      <c r="AC53" s="823"/>
      <c r="AD53" s="823"/>
      <c r="AE53" s="823"/>
      <c r="AF53" s="823"/>
      <c r="AG53" s="823"/>
      <c r="AH53" s="824" t="str">
        <f>IF(NOT(QUOTE_Split_SoftwareHardware),QCalc!O63,QCalc!AC32)</f>
        <v/>
      </c>
      <c r="AI53" s="825"/>
      <c r="AJ53" s="176"/>
      <c r="AK53" s="177"/>
    </row>
    <row r="54" spans="1:37" ht="11" customHeight="1" x14ac:dyDescent="0.2">
      <c r="A54" s="84"/>
      <c r="B54" s="73" t="str">
        <f>IF(AND(C54&gt;0,C54&lt;&gt;"",AND(LEFT(E54,7)&lt;&gt;"   • Wi",LEFT(E54,7)&lt;&gt;"   • XL")),COUNT($C$24:C54)-(SUMPRODUCT(--(LEFT($E$24:E54,7)="   • Wi"))+SUMPRODUCT(--(LEFT($E$24:E54,7)="   • XL"))),"")</f>
        <v/>
      </c>
      <c r="C54" s="82" t="str">
        <f>IF(IFERROR(SEARCH("% discount on",QCalc!$N33),0)=0,
IF(NOT(QUOTE_Split_SoftwareHardware),QCalc!Q33,QCalc!X33),"")</f>
        <v/>
      </c>
      <c r="D54" s="82" t="str">
        <f t="shared" si="3"/>
        <v/>
      </c>
      <c r="E54" s="822" t="str">
        <f>IF(IFERROR(SEARCH("% discount on",QCalc!$N33),0)=0,
IF(NOT(QUOTE_Split_SoftwareHardware),QCalc!N33,QCalc!U33),"")</f>
        <v/>
      </c>
      <c r="F54" s="823"/>
      <c r="G54" s="823"/>
      <c r="H54" s="823"/>
      <c r="I54" s="823"/>
      <c r="J54" s="823"/>
      <c r="K54" s="823"/>
      <c r="L54" s="823"/>
      <c r="M54" s="823"/>
      <c r="N54" s="823"/>
      <c r="O54" s="824" t="str">
        <f>IF(NOT(QUOTE_Split_SoftwareHardware),QCalc!O33,QCalc!V33)</f>
        <v/>
      </c>
      <c r="P54" s="825"/>
      <c r="Q54" s="176"/>
      <c r="R54" s="177"/>
      <c r="T54" s="84"/>
      <c r="U54" s="73" t="str">
        <f>IF(AND(V54&gt;0,V54&lt;&gt;"",AND(LEFT(X54,7)&lt;&gt;"   • Wi",LEFT(X54,7)&lt;&gt;"   • XL")),COUNT($V$24:V54)-(SUMPRODUCT(--(LEFT($X$24:X54,7)="   • Wi"))+SUMPRODUCT(--(LEFT($X$24:X54,7)="   • XL")))+IF(NOT(QUOTE_Split_SoftwareHardware),MAX($B$24:$B$54),0),"")</f>
        <v/>
      </c>
      <c r="V54" s="82" t="str">
        <f>IF(IFERROR(SEARCH("% discount on",QCalc!$AE33),0)=0,
IF(NOT(QUOTE_Split_SoftwareHardware),QCalc!Q64,QCalc!AE33),"")</f>
        <v/>
      </c>
      <c r="W54" s="82" t="str">
        <f t="shared" si="4"/>
        <v/>
      </c>
      <c r="X54" s="823" t="str">
        <f>IF(IFERROR(SEARCH("% discount on",QCalc!$AE33),0)=0,
IF(NOT(QUOTE_Split_SoftwareHardware),QCalc!N64,QCalc!AB33),"")</f>
        <v/>
      </c>
      <c r="Y54" s="823"/>
      <c r="Z54" s="823"/>
      <c r="AA54" s="823"/>
      <c r="AB54" s="823"/>
      <c r="AC54" s="823"/>
      <c r="AD54" s="823"/>
      <c r="AE54" s="823"/>
      <c r="AF54" s="823"/>
      <c r="AG54" s="823"/>
      <c r="AH54" s="824" t="str">
        <f>IF(NOT(QUOTE_Split_SoftwareHardware),QCalc!O64,QCalc!AC33)</f>
        <v/>
      </c>
      <c r="AI54" s="825"/>
      <c r="AJ54" s="176"/>
      <c r="AK54" s="177"/>
    </row>
    <row r="55" spans="1:37" ht="11" customHeight="1" x14ac:dyDescent="0.2">
      <c r="A55" s="85"/>
      <c r="B55" s="114"/>
      <c r="C55" s="87"/>
      <c r="D55" s="87"/>
      <c r="E55" s="115"/>
      <c r="F55" s="842" t="str">
        <f>IF(AND(QUOTE_Split_SoftwareHardware,COUNTIF(TableQCalcMain[ShowSoft],"&gt;0")&gt;31),
IF(Francais,"DÉBORDEMENT, Certains items ne sont pas affichés et facturés","OVERFLOW, Some items are not shown and billed"),
IF(RIGHT(R65,1)&lt;&gt;"1","Also includes items on next page(s)",""))</f>
        <v/>
      </c>
      <c r="G55" s="842"/>
      <c r="H55" s="842"/>
      <c r="I55" s="842"/>
      <c r="J55" s="842"/>
      <c r="K55" s="842"/>
      <c r="L55" s="842"/>
      <c r="M55" s="842"/>
      <c r="N55" s="842"/>
      <c r="O55" s="844"/>
      <c r="P55" s="844"/>
      <c r="Q55" s="178"/>
      <c r="R55" s="179"/>
      <c r="T55" s="85"/>
      <c r="U55" s="114"/>
      <c r="V55" s="87"/>
      <c r="W55" s="87"/>
      <c r="X55" s="115"/>
      <c r="Y55" s="842" t="str">
        <f>IF(NOT(QUOTE_Split_SoftwareHardware),
IF(COUNTIF(TableQCalcMain[ShowDesc?],"&gt;0")&gt;64,IF(Francais,"DÉBORDEMENT, Certains items ne sont pas affichés et facturés","OVERFLOW, Some items are not shown and billed"),""),
IF(COUNTIF(TableQCalcMain[ShowHard],"&gt;0")&gt;31,IF(Francais,"DÉBORDEMENT, Certains items ne sont pas affichés et facturés","OVERFLOW, Some items are not shown and billed"),"")
)</f>
        <v/>
      </c>
      <c r="Z55" s="842"/>
      <c r="AA55" s="842"/>
      <c r="AB55" s="842"/>
      <c r="AC55" s="842"/>
      <c r="AD55" s="842"/>
      <c r="AE55" s="842"/>
      <c r="AF55" s="842"/>
      <c r="AG55" s="842"/>
      <c r="AH55" s="844"/>
      <c r="AI55" s="844"/>
      <c r="AJ55" s="178"/>
      <c r="AK55" s="179"/>
    </row>
    <row r="56" spans="1:37" ht="5.75" customHeight="1" x14ac:dyDescent="0.2">
      <c r="O56" s="47"/>
      <c r="P56" s="100"/>
      <c r="Q56" s="91"/>
      <c r="R56" s="101"/>
      <c r="T56" s="46"/>
      <c r="U56" s="46"/>
      <c r="V56" s="46"/>
      <c r="W56" s="46"/>
      <c r="X56" s="46"/>
      <c r="Y56" s="46"/>
      <c r="Z56" s="46"/>
      <c r="AA56" s="46"/>
      <c r="AB56" s="46"/>
      <c r="AC56" s="46"/>
      <c r="AD56" s="46"/>
      <c r="AE56" s="46"/>
      <c r="AF56" s="46"/>
      <c r="AG56" s="46"/>
      <c r="AH56" s="47"/>
      <c r="AI56" s="100"/>
      <c r="AJ56" s="91"/>
      <c r="AK56" s="101"/>
    </row>
    <row r="57" spans="1:37" ht="15.5" customHeight="1" x14ac:dyDescent="0.2">
      <c r="A57" s="878" t="str">
        <f>IF(Francais,"LISTE DE COLISAGE","PACKING LIST")</f>
        <v>LISTE DE COLISAGE</v>
      </c>
      <c r="B57" s="878"/>
      <c r="C57" s="878"/>
      <c r="D57" s="878"/>
      <c r="E57" s="878"/>
      <c r="F57" s="878"/>
      <c r="G57" s="878"/>
      <c r="H57" s="878"/>
      <c r="I57" s="878"/>
      <c r="J57" s="878"/>
      <c r="K57" s="878"/>
      <c r="L57" s="878"/>
      <c r="M57" s="878"/>
      <c r="N57" s="878"/>
      <c r="O57" s="878"/>
      <c r="P57" s="878"/>
      <c r="Q57" s="878"/>
      <c r="R57" s="878"/>
      <c r="T57" s="878" t="str">
        <f>IF(Francais,"LISTE DE COLISAGE","PACKING LIST")</f>
        <v>LISTE DE COLISAGE</v>
      </c>
      <c r="U57" s="878"/>
      <c r="V57" s="878"/>
      <c r="W57" s="878"/>
      <c r="X57" s="878"/>
      <c r="Y57" s="878"/>
      <c r="Z57" s="878"/>
      <c r="AA57" s="878"/>
      <c r="AB57" s="878"/>
      <c r="AC57" s="878"/>
      <c r="AD57" s="878"/>
      <c r="AE57" s="878"/>
      <c r="AF57" s="878"/>
      <c r="AG57" s="878"/>
      <c r="AH57" s="878"/>
      <c r="AI57" s="878"/>
      <c r="AJ57" s="878"/>
      <c r="AK57" s="878"/>
    </row>
    <row r="58" spans="1:37" ht="15.5" customHeight="1" x14ac:dyDescent="0.2">
      <c r="A58" s="878"/>
      <c r="B58" s="878"/>
      <c r="C58" s="878"/>
      <c r="D58" s="878"/>
      <c r="E58" s="878"/>
      <c r="F58" s="878"/>
      <c r="G58" s="878"/>
      <c r="H58" s="878"/>
      <c r="I58" s="878"/>
      <c r="J58" s="878"/>
      <c r="K58" s="878"/>
      <c r="L58" s="878"/>
      <c r="M58" s="878"/>
      <c r="N58" s="878"/>
      <c r="O58" s="878"/>
      <c r="P58" s="878"/>
      <c r="Q58" s="878"/>
      <c r="R58" s="878"/>
      <c r="T58" s="878"/>
      <c r="U58" s="878"/>
      <c r="V58" s="878"/>
      <c r="W58" s="878"/>
      <c r="X58" s="878"/>
      <c r="Y58" s="878"/>
      <c r="Z58" s="878"/>
      <c r="AA58" s="878"/>
      <c r="AB58" s="878"/>
      <c r="AC58" s="878"/>
      <c r="AD58" s="878"/>
      <c r="AE58" s="878"/>
      <c r="AF58" s="878"/>
      <c r="AG58" s="878"/>
      <c r="AH58" s="878"/>
      <c r="AI58" s="878"/>
      <c r="AJ58" s="878"/>
      <c r="AK58" s="878"/>
    </row>
    <row r="59" spans="1:37" ht="15.5" customHeight="1" x14ac:dyDescent="0.2">
      <c r="A59" s="878"/>
      <c r="B59" s="878"/>
      <c r="C59" s="878"/>
      <c r="D59" s="878"/>
      <c r="E59" s="878"/>
      <c r="F59" s="878"/>
      <c r="G59" s="878"/>
      <c r="H59" s="878"/>
      <c r="I59" s="878"/>
      <c r="J59" s="878"/>
      <c r="K59" s="878"/>
      <c r="L59" s="878"/>
      <c r="M59" s="878"/>
      <c r="N59" s="878"/>
      <c r="O59" s="878"/>
      <c r="P59" s="878"/>
      <c r="Q59" s="878"/>
      <c r="R59" s="878"/>
      <c r="T59" s="878"/>
      <c r="U59" s="878"/>
      <c r="V59" s="878"/>
      <c r="W59" s="878"/>
      <c r="X59" s="878"/>
      <c r="Y59" s="878"/>
      <c r="Z59" s="878"/>
      <c r="AA59" s="878"/>
      <c r="AB59" s="878"/>
      <c r="AC59" s="878"/>
      <c r="AD59" s="878"/>
      <c r="AE59" s="878"/>
      <c r="AF59" s="878"/>
      <c r="AG59" s="878"/>
      <c r="AH59" s="878"/>
      <c r="AI59" s="878"/>
      <c r="AJ59" s="878"/>
      <c r="AK59" s="878"/>
    </row>
    <row r="60" spans="1:37" ht="11" customHeight="1" x14ac:dyDescent="0.2">
      <c r="A60" s="878"/>
      <c r="B60" s="878"/>
      <c r="C60" s="878"/>
      <c r="D60" s="878"/>
      <c r="E60" s="878"/>
      <c r="F60" s="878"/>
      <c r="G60" s="878"/>
      <c r="H60" s="878"/>
      <c r="I60" s="878"/>
      <c r="J60" s="878"/>
      <c r="K60" s="878"/>
      <c r="L60" s="878"/>
      <c r="M60" s="878"/>
      <c r="N60" s="878"/>
      <c r="O60" s="878"/>
      <c r="P60" s="878"/>
      <c r="Q60" s="878"/>
      <c r="R60" s="878"/>
      <c r="T60" s="878"/>
      <c r="U60" s="878"/>
      <c r="V60" s="878"/>
      <c r="W60" s="878"/>
      <c r="X60" s="878"/>
      <c r="Y60" s="878"/>
      <c r="Z60" s="878"/>
      <c r="AA60" s="878"/>
      <c r="AB60" s="878"/>
      <c r="AC60" s="878"/>
      <c r="AD60" s="878"/>
      <c r="AE60" s="878"/>
      <c r="AF60" s="878"/>
      <c r="AG60" s="878"/>
      <c r="AH60" s="878"/>
      <c r="AI60" s="878"/>
      <c r="AJ60" s="878"/>
      <c r="AK60" s="878"/>
    </row>
    <row r="61" spans="1:37" ht="15.5" customHeight="1" x14ac:dyDescent="0.2">
      <c r="A61" s="878"/>
      <c r="B61" s="878"/>
      <c r="C61" s="878"/>
      <c r="D61" s="878"/>
      <c r="E61" s="878"/>
      <c r="F61" s="878"/>
      <c r="G61" s="878"/>
      <c r="H61" s="878"/>
      <c r="I61" s="878"/>
      <c r="J61" s="878"/>
      <c r="K61" s="878"/>
      <c r="L61" s="878"/>
      <c r="M61" s="878"/>
      <c r="N61" s="878"/>
      <c r="O61" s="878"/>
      <c r="P61" s="878"/>
      <c r="Q61" s="878"/>
      <c r="R61" s="878"/>
      <c r="T61" s="878"/>
      <c r="U61" s="878"/>
      <c r="V61" s="878"/>
      <c r="W61" s="878"/>
      <c r="X61" s="878"/>
      <c r="Y61" s="878"/>
      <c r="Z61" s="878"/>
      <c r="AA61" s="878"/>
      <c r="AB61" s="878"/>
      <c r="AC61" s="878"/>
      <c r="AD61" s="878"/>
      <c r="AE61" s="878"/>
      <c r="AF61" s="878"/>
      <c r="AG61" s="878"/>
      <c r="AH61" s="878"/>
      <c r="AI61" s="878"/>
      <c r="AJ61" s="878"/>
      <c r="AK61" s="878"/>
    </row>
    <row r="62" spans="1:37" x14ac:dyDescent="0.2">
      <c r="B62" s="112"/>
      <c r="C62" s="112"/>
      <c r="D62" s="112"/>
      <c r="E62" s="112"/>
      <c r="F62" s="112"/>
      <c r="G62" s="112"/>
      <c r="H62" s="112"/>
      <c r="I62" s="112"/>
      <c r="J62" s="112"/>
      <c r="K62" s="112"/>
      <c r="L62" s="112"/>
      <c r="M62" s="112"/>
      <c r="O62" s="47"/>
      <c r="R62" s="102"/>
      <c r="T62" s="46"/>
      <c r="U62" s="51"/>
      <c r="V62" s="51"/>
      <c r="W62" s="51"/>
      <c r="X62" s="51"/>
      <c r="Y62" s="51"/>
      <c r="Z62" s="51"/>
      <c r="AA62" s="51"/>
      <c r="AB62" s="51"/>
      <c r="AC62" s="51"/>
      <c r="AD62" s="51"/>
      <c r="AE62" s="51"/>
      <c r="AF62" s="51"/>
      <c r="AG62" s="46"/>
      <c r="AH62" s="47"/>
      <c r="AI62" s="46"/>
      <c r="AJ62" s="46"/>
      <c r="AK62" s="102"/>
    </row>
    <row r="63" spans="1:37" x14ac:dyDescent="0.2">
      <c r="B63" s="112"/>
      <c r="C63" s="112"/>
      <c r="D63" s="112"/>
      <c r="E63" s="112"/>
      <c r="F63" s="112"/>
      <c r="G63" s="112"/>
      <c r="H63" s="112"/>
      <c r="I63" s="112"/>
      <c r="J63" s="112"/>
      <c r="K63" s="112"/>
      <c r="L63" s="112"/>
      <c r="M63" s="112"/>
      <c r="N63" s="47"/>
      <c r="Q63" s="50"/>
      <c r="R63" s="50"/>
      <c r="T63" s="46"/>
      <c r="U63" s="51"/>
      <c r="V63" s="51"/>
      <c r="W63" s="51"/>
      <c r="X63" s="51"/>
      <c r="Y63" s="51"/>
      <c r="Z63" s="51"/>
      <c r="AA63" s="51"/>
      <c r="AB63" s="51"/>
      <c r="AC63" s="51"/>
      <c r="AD63" s="51"/>
      <c r="AE63" s="51"/>
      <c r="AF63" s="51"/>
      <c r="AG63" s="47"/>
      <c r="AH63" s="46"/>
      <c r="AI63" s="46"/>
      <c r="AJ63" s="50"/>
      <c r="AK63" s="50"/>
    </row>
    <row r="64" spans="1:37" x14ac:dyDescent="0.2">
      <c r="B64" s="113"/>
      <c r="C64" s="113"/>
      <c r="D64" s="113"/>
      <c r="E64" s="113"/>
      <c r="F64" s="113"/>
      <c r="G64" s="113"/>
      <c r="H64" s="113"/>
      <c r="I64" s="113"/>
      <c r="J64" s="113"/>
      <c r="N64" s="47"/>
      <c r="T64" s="46"/>
      <c r="U64" s="49"/>
      <c r="V64" s="49"/>
      <c r="W64" s="49"/>
      <c r="X64" s="49"/>
      <c r="Y64" s="49"/>
      <c r="Z64" s="49"/>
      <c r="AA64" s="49"/>
      <c r="AB64" s="49"/>
      <c r="AC64" s="49"/>
      <c r="AD64" s="46"/>
      <c r="AE64" s="46"/>
      <c r="AF64" s="46"/>
      <c r="AG64" s="47"/>
      <c r="AH64" s="46"/>
      <c r="AI64" s="46"/>
      <c r="AJ64" s="46"/>
      <c r="AK64" s="46"/>
    </row>
    <row r="65" spans="1:38" x14ac:dyDescent="0.2">
      <c r="J65" s="236" t="str">
        <f>IF(Francais,"Préparée par","Issued by")</f>
        <v>Préparée par</v>
      </c>
      <c r="K65" s="13" t="str">
        <f>Quote!J65</f>
        <v>Nicolas Lachance</v>
      </c>
      <c r="N65" s="750" t="s">
        <v>778</v>
      </c>
      <c r="O65" s="236"/>
      <c r="P65" s="13"/>
      <c r="Q65" s="234"/>
      <c r="R65" s="71" t="str">
        <f>"Page 1 " &amp; IF(Francais,"de ","of ") &amp; IF(ROWS(PList!$X$24:$X$54)&gt;COUNTBLANK(PList!$X$24:$X$54),IF(NOT(QUOTE_Split_SoftwareHardware),2,1),1)</f>
        <v>Page 1 de 1</v>
      </c>
      <c r="T65" s="46"/>
      <c r="U65" s="46"/>
      <c r="V65" s="46"/>
      <c r="W65" s="46"/>
      <c r="X65" s="46"/>
      <c r="Y65" s="46"/>
      <c r="Z65" s="46"/>
      <c r="AA65" s="46"/>
      <c r="AB65" s="46"/>
      <c r="AC65" s="236" t="str">
        <f>IF(Francais,"Préparée par","Issued by")</f>
        <v>Préparée par</v>
      </c>
      <c r="AD65" s="13" t="s">
        <v>753</v>
      </c>
      <c r="AE65" s="46"/>
      <c r="AF65" s="46"/>
      <c r="AG65" s="750" t="s">
        <v>778</v>
      </c>
      <c r="AH65" s="46"/>
      <c r="AI65" s="13"/>
      <c r="AJ65" s="46"/>
      <c r="AK65" s="99" t="str">
        <f>SUBSTITUTE("Page 2 " &amp; IF(Francais,"de ","of ") &amp; "2","2",IF(NOT(QUOTE_Split_SoftwareHardware),"2","1"))</f>
        <v>Page 2 de 2</v>
      </c>
    </row>
    <row r="66" spans="1:38" ht="2.75" customHeight="1" x14ac:dyDescent="0.2">
      <c r="A66" s="86"/>
      <c r="B66" s="86"/>
      <c r="C66" s="86"/>
      <c r="D66" s="86"/>
      <c r="E66" s="86"/>
      <c r="F66" s="86"/>
      <c r="G66" s="86"/>
      <c r="H66" s="86"/>
      <c r="I66" s="86"/>
      <c r="J66" s="86"/>
      <c r="K66" s="86"/>
      <c r="L66" s="86"/>
      <c r="M66" s="86"/>
      <c r="N66" s="86"/>
      <c r="O66" s="86"/>
      <c r="P66" s="86"/>
      <c r="Q66" s="86"/>
      <c r="R66" s="86"/>
      <c r="S66" s="46"/>
      <c r="T66" s="86"/>
      <c r="U66" s="86"/>
      <c r="V66" s="86"/>
      <c r="W66" s="86"/>
      <c r="X66" s="86"/>
      <c r="Y66" s="86"/>
      <c r="Z66" s="86"/>
      <c r="AA66" s="86"/>
      <c r="AB66" s="86"/>
      <c r="AC66" s="86"/>
      <c r="AD66" s="86"/>
      <c r="AE66" s="86"/>
      <c r="AF66" s="86"/>
      <c r="AG66" s="86"/>
      <c r="AH66" s="86"/>
      <c r="AI66" s="86"/>
      <c r="AJ66" s="86"/>
      <c r="AK66" s="86"/>
      <c r="AL66" s="46"/>
    </row>
    <row r="67" spans="1:38" x14ac:dyDescent="0.2">
      <c r="T67" s="46"/>
      <c r="U67" s="46"/>
      <c r="V67" s="46"/>
      <c r="W67" s="46"/>
      <c r="X67" s="46"/>
      <c r="Y67" s="46"/>
      <c r="Z67" s="46"/>
      <c r="AA67" s="46"/>
      <c r="AB67" s="46"/>
      <c r="AC67" s="46"/>
      <c r="AD67" s="46"/>
      <c r="AE67" s="46"/>
      <c r="AF67" s="46"/>
      <c r="AG67" s="46"/>
      <c r="AH67" s="46"/>
      <c r="AI67" s="46"/>
      <c r="AJ67" s="46"/>
      <c r="AK67" s="46"/>
    </row>
  </sheetData>
  <sheetProtection algorithmName="SHA-512" hashValue="9CbzyJPJ7NJTutlEH6jkZiRPi57yMHFRDaSDATngXQAyPsJMoXKBCHCo4pYpVTmizOEGfTP5KA2DIoyv7Dxqtw==" saltValue="VGBeyLrkHfmJWx2sTHj9nQ==" spinCount="100000" sheet="1" objects="1" scenarios="1" selectLockedCells="1"/>
  <mergeCells count="220">
    <mergeCell ref="A57:R61"/>
    <mergeCell ref="T57:AK61"/>
    <mergeCell ref="F55:N55"/>
    <mergeCell ref="O55:P55"/>
    <mergeCell ref="Y55:AG55"/>
    <mergeCell ref="AH55:AI55"/>
    <mergeCell ref="E54:N54"/>
    <mergeCell ref="O54:P54"/>
    <mergeCell ref="X54:AG54"/>
    <mergeCell ref="AH54:AI54"/>
    <mergeCell ref="E52:N52"/>
    <mergeCell ref="O52:P52"/>
    <mergeCell ref="X52:AG52"/>
    <mergeCell ref="AH52:AI52"/>
    <mergeCell ref="E53:N53"/>
    <mergeCell ref="O53:P53"/>
    <mergeCell ref="X53:AG53"/>
    <mergeCell ref="AH53:AI53"/>
    <mergeCell ref="E50:N50"/>
    <mergeCell ref="O50:P50"/>
    <mergeCell ref="X50:AG50"/>
    <mergeCell ref="AH50:AI50"/>
    <mergeCell ref="E51:N51"/>
    <mergeCell ref="O51:P51"/>
    <mergeCell ref="X51:AG51"/>
    <mergeCell ref="AH51:AI51"/>
    <mergeCell ref="E48:N48"/>
    <mergeCell ref="O48:P48"/>
    <mergeCell ref="X48:AG48"/>
    <mergeCell ref="AH48:AI48"/>
    <mergeCell ref="E49:N49"/>
    <mergeCell ref="O49:P49"/>
    <mergeCell ref="X49:AG49"/>
    <mergeCell ref="AH49:AI49"/>
    <mergeCell ref="E46:N46"/>
    <mergeCell ref="O46:P46"/>
    <mergeCell ref="X46:AG46"/>
    <mergeCell ref="AH46:AI46"/>
    <mergeCell ref="E47:N47"/>
    <mergeCell ref="O47:P47"/>
    <mergeCell ref="X47:AG47"/>
    <mergeCell ref="AH47:AI47"/>
    <mergeCell ref="E44:N44"/>
    <mergeCell ref="O44:P44"/>
    <mergeCell ref="X44:AG44"/>
    <mergeCell ref="AH44:AI44"/>
    <mergeCell ref="E45:N45"/>
    <mergeCell ref="O45:P45"/>
    <mergeCell ref="X45:AG45"/>
    <mergeCell ref="AH45:AI45"/>
    <mergeCell ref="E42:N42"/>
    <mergeCell ref="O42:P42"/>
    <mergeCell ref="X42:AG42"/>
    <mergeCell ref="AH42:AI42"/>
    <mergeCell ref="E43:N43"/>
    <mergeCell ref="O43:P43"/>
    <mergeCell ref="X43:AG43"/>
    <mergeCell ref="AH43:AI43"/>
    <mergeCell ref="E40:N40"/>
    <mergeCell ref="O40:P40"/>
    <mergeCell ref="X40:AG40"/>
    <mergeCell ref="AH40:AI40"/>
    <mergeCell ref="E41:N41"/>
    <mergeCell ref="O41:P41"/>
    <mergeCell ref="X41:AG41"/>
    <mergeCell ref="AH41:AI41"/>
    <mergeCell ref="E38:N38"/>
    <mergeCell ref="O38:P38"/>
    <mergeCell ref="X38:AG38"/>
    <mergeCell ref="AH38:AI38"/>
    <mergeCell ref="E39:N39"/>
    <mergeCell ref="O39:P39"/>
    <mergeCell ref="X39:AG39"/>
    <mergeCell ref="AH39:AI39"/>
    <mergeCell ref="E36:N36"/>
    <mergeCell ref="O36:P36"/>
    <mergeCell ref="X36:AG36"/>
    <mergeCell ref="AH36:AI36"/>
    <mergeCell ref="E37:N37"/>
    <mergeCell ref="O37:P37"/>
    <mergeCell ref="X37:AG37"/>
    <mergeCell ref="AH37:AI37"/>
    <mergeCell ref="E34:N34"/>
    <mergeCell ref="O34:P34"/>
    <mergeCell ref="X34:AG34"/>
    <mergeCell ref="AH34:AI34"/>
    <mergeCell ref="E35:N35"/>
    <mergeCell ref="O35:P35"/>
    <mergeCell ref="X35:AG35"/>
    <mergeCell ref="AH35:AI35"/>
    <mergeCell ref="E32:N32"/>
    <mergeCell ref="O32:P32"/>
    <mergeCell ref="X32:AG32"/>
    <mergeCell ref="AH32:AI32"/>
    <mergeCell ref="E33:N33"/>
    <mergeCell ref="O33:P33"/>
    <mergeCell ref="X33:AG33"/>
    <mergeCell ref="AH33:AI33"/>
    <mergeCell ref="E30:N30"/>
    <mergeCell ref="O30:P30"/>
    <mergeCell ref="X30:AG30"/>
    <mergeCell ref="AH30:AI30"/>
    <mergeCell ref="E31:N31"/>
    <mergeCell ref="O31:P31"/>
    <mergeCell ref="X31:AG31"/>
    <mergeCell ref="AH31:AI31"/>
    <mergeCell ref="E28:N28"/>
    <mergeCell ref="O28:P28"/>
    <mergeCell ref="X28:AG28"/>
    <mergeCell ref="AH28:AI28"/>
    <mergeCell ref="E29:N29"/>
    <mergeCell ref="O29:P29"/>
    <mergeCell ref="X29:AG29"/>
    <mergeCell ref="AH29:AI29"/>
    <mergeCell ref="E26:N26"/>
    <mergeCell ref="O26:P26"/>
    <mergeCell ref="X26:AG26"/>
    <mergeCell ref="AH26:AI26"/>
    <mergeCell ref="E27:N27"/>
    <mergeCell ref="O27:P27"/>
    <mergeCell ref="X27:AG27"/>
    <mergeCell ref="AH27:AI27"/>
    <mergeCell ref="E24:N24"/>
    <mergeCell ref="O24:P24"/>
    <mergeCell ref="X24:AG24"/>
    <mergeCell ref="AH24:AI24"/>
    <mergeCell ref="E25:N25"/>
    <mergeCell ref="O25:P25"/>
    <mergeCell ref="X25:AG25"/>
    <mergeCell ref="AH25:AI25"/>
    <mergeCell ref="E22:F22"/>
    <mergeCell ref="O22:P22"/>
    <mergeCell ref="X22:Y22"/>
    <mergeCell ref="AH22:AI22"/>
    <mergeCell ref="E23:N23"/>
    <mergeCell ref="X23:AG23"/>
    <mergeCell ref="O23:P23"/>
    <mergeCell ref="AH23:AI23"/>
    <mergeCell ref="N18:P18"/>
    <mergeCell ref="AG18:AI18"/>
    <mergeCell ref="AG19:AI19"/>
    <mergeCell ref="N19:P19"/>
    <mergeCell ref="AB15:AE15"/>
    <mergeCell ref="AJ14:AK14"/>
    <mergeCell ref="B17:G17"/>
    <mergeCell ref="I17:L17"/>
    <mergeCell ref="AJ15:AK16"/>
    <mergeCell ref="C18:G18"/>
    <mergeCell ref="J18:L18"/>
    <mergeCell ref="N15:P15"/>
    <mergeCell ref="V18:Z18"/>
    <mergeCell ref="AC18:AE18"/>
    <mergeCell ref="AG15:AI15"/>
    <mergeCell ref="Q15:R16"/>
    <mergeCell ref="N17:P17"/>
    <mergeCell ref="AG17:AI17"/>
    <mergeCell ref="B14:G14"/>
    <mergeCell ref="I14:L14"/>
    <mergeCell ref="U14:Z14"/>
    <mergeCell ref="AB14:AE14"/>
    <mergeCell ref="B15:G15"/>
    <mergeCell ref="I15:L15"/>
    <mergeCell ref="B9:G10"/>
    <mergeCell ref="I9:L10"/>
    <mergeCell ref="N9:R10"/>
    <mergeCell ref="U9:Z10"/>
    <mergeCell ref="AB9:AE10"/>
    <mergeCell ref="AG9:AK10"/>
    <mergeCell ref="M6:P6"/>
    <mergeCell ref="Q6:R6"/>
    <mergeCell ref="AF6:AI6"/>
    <mergeCell ref="AJ6:AK6"/>
    <mergeCell ref="M7:O7"/>
    <mergeCell ref="B13:G13"/>
    <mergeCell ref="I13:L13"/>
    <mergeCell ref="N13:P13"/>
    <mergeCell ref="Q13:R13"/>
    <mergeCell ref="U13:Z13"/>
    <mergeCell ref="AB13:AE13"/>
    <mergeCell ref="AG13:AI13"/>
    <mergeCell ref="AJ13:AK13"/>
    <mergeCell ref="B12:G12"/>
    <mergeCell ref="I12:L12"/>
    <mergeCell ref="N12:P12"/>
    <mergeCell ref="Q12:R12"/>
    <mergeCell ref="U12:Z12"/>
    <mergeCell ref="AB12:AE12"/>
    <mergeCell ref="U15:Z15"/>
    <mergeCell ref="U17:Z17"/>
    <mergeCell ref="AB17:AE17"/>
    <mergeCell ref="N14:P14"/>
    <mergeCell ref="Q14:R14"/>
    <mergeCell ref="B16:G16"/>
    <mergeCell ref="I16:L16"/>
    <mergeCell ref="U16:Z16"/>
    <mergeCell ref="AB16:AE16"/>
    <mergeCell ref="AG14:AI14"/>
    <mergeCell ref="P7:R7"/>
    <mergeCell ref="AF7:AH7"/>
    <mergeCell ref="AI7:AK7"/>
    <mergeCell ref="Q1:R1"/>
    <mergeCell ref="AJ1:AK1"/>
    <mergeCell ref="M2:P2"/>
    <mergeCell ref="Q2:R2"/>
    <mergeCell ref="AF2:AI2"/>
    <mergeCell ref="AJ2:AK2"/>
    <mergeCell ref="M5:P5"/>
    <mergeCell ref="Q5:R5"/>
    <mergeCell ref="AF5:AI5"/>
    <mergeCell ref="AJ5:AK5"/>
    <mergeCell ref="M4:P4"/>
    <mergeCell ref="Q4:R4"/>
    <mergeCell ref="AF4:AI4"/>
    <mergeCell ref="AJ4:AK4"/>
    <mergeCell ref="AI3:AK3"/>
    <mergeCell ref="M3:O3"/>
    <mergeCell ref="AF3:AH3"/>
    <mergeCell ref="P3:R3"/>
    <mergeCell ref="AG12:AI12"/>
    <mergeCell ref="AJ12:AK12"/>
  </mergeCells>
  <hyperlinks>
    <hyperlink ref="N65" r:id="rId1" xr:uid="{81B1F4E9-1D01-4A06-9B27-5FA322B88FA0}"/>
    <hyperlink ref="AG65" r:id="rId2" xr:uid="{D932DEE0-5B47-459F-BD17-853D05287A77}"/>
  </hyperlinks>
  <pageMargins left="0.23622047244094491" right="0.23622047244094491" top="0.31496062992125984" bottom="0.11811023622047245" header="0.31496062992125984" footer="0.70866141732283472"/>
  <pageSetup scale="99" orientation="portrait" horizontalDpi="1200" verticalDpi="1200" r:id="rId3"/>
  <colBreaks count="1" manualBreakCount="1">
    <brk id="19" max="1048575" man="1"/>
  </colBreaks>
  <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theme="1" tint="0.34998626667073579"/>
    <pageSetUpPr fitToPage="1"/>
  </sheetPr>
  <dimension ref="A1:O64"/>
  <sheetViews>
    <sheetView showGridLines="0" zoomScaleNormal="100" workbookViewId="0"/>
  </sheetViews>
  <sheetFormatPr baseColWidth="10" defaultColWidth="8.6640625" defaultRowHeight="16" x14ac:dyDescent="0.2"/>
  <cols>
    <col min="1" max="2" width="4" customWidth="1"/>
    <col min="3" max="3" width="3.6640625" customWidth="1"/>
    <col min="7" max="7" width="3.6640625" customWidth="1"/>
    <col min="8" max="8" width="11.6640625" customWidth="1"/>
    <col min="9" max="10" width="4" customWidth="1"/>
    <col min="11" max="11" width="3.6640625" customWidth="1"/>
    <col min="13" max="14" width="8.6640625" customWidth="1"/>
    <col min="15" max="15" width="0.6640625" customWidth="1"/>
  </cols>
  <sheetData>
    <row r="1" spans="1:15" ht="34.25" customHeight="1" x14ac:dyDescent="0.2">
      <c r="A1" s="206"/>
      <c r="B1" s="206"/>
      <c r="C1" s="206"/>
      <c r="D1" s="206"/>
      <c r="E1" s="206"/>
      <c r="F1" s="206"/>
      <c r="G1" s="206"/>
      <c r="H1" s="206"/>
      <c r="I1" s="206"/>
      <c r="J1" s="206"/>
      <c r="K1" s="206"/>
      <c r="L1" s="206"/>
      <c r="M1" s="206"/>
      <c r="N1" s="206"/>
      <c r="O1" s="206"/>
    </row>
    <row r="2" spans="1:15" x14ac:dyDescent="0.2">
      <c r="A2" s="211" t="s">
        <v>135</v>
      </c>
      <c r="B2" s="211"/>
      <c r="C2" s="211"/>
      <c r="D2" s="211"/>
      <c r="E2" s="211"/>
      <c r="F2" s="211"/>
      <c r="G2" s="206"/>
      <c r="H2" s="206"/>
      <c r="I2" s="211" t="s">
        <v>135</v>
      </c>
      <c r="J2" s="211"/>
      <c r="K2" s="211"/>
      <c r="L2" s="211"/>
      <c r="M2" s="211"/>
      <c r="N2" s="211"/>
      <c r="O2" s="206"/>
    </row>
    <row r="3" spans="1:15" s="57" customFormat="1" ht="12" customHeight="1" x14ac:dyDescent="0.2">
      <c r="A3" s="881" t="s">
        <v>137</v>
      </c>
      <c r="B3" s="881"/>
      <c r="C3" s="881"/>
      <c r="D3" s="881"/>
      <c r="E3" s="881"/>
      <c r="F3" s="881"/>
      <c r="G3" s="206"/>
      <c r="H3" s="206"/>
      <c r="I3" s="881" t="s">
        <v>137</v>
      </c>
      <c r="J3" s="881"/>
      <c r="K3" s="881"/>
      <c r="L3" s="881"/>
      <c r="M3" s="881"/>
      <c r="N3" s="881"/>
      <c r="O3" s="212"/>
    </row>
    <row r="4" spans="1:15" s="57" customFormat="1" ht="12" customHeight="1" x14ac:dyDescent="0.2">
      <c r="A4" s="881" t="s">
        <v>210</v>
      </c>
      <c r="B4" s="881"/>
      <c r="C4" s="881"/>
      <c r="D4" s="881"/>
      <c r="E4" s="881"/>
      <c r="F4" s="881"/>
      <c r="G4" s="206"/>
      <c r="H4" s="206"/>
      <c r="I4" s="881" t="s">
        <v>210</v>
      </c>
      <c r="J4" s="881"/>
      <c r="K4" s="881"/>
      <c r="L4" s="881"/>
      <c r="M4" s="881"/>
      <c r="N4" s="881"/>
      <c r="O4" s="212"/>
    </row>
    <row r="5" spans="1:15" x14ac:dyDescent="0.2">
      <c r="A5" s="208"/>
      <c r="B5" s="209"/>
      <c r="C5" s="208"/>
      <c r="D5" s="208"/>
      <c r="E5" s="208"/>
      <c r="F5" s="208"/>
      <c r="G5" s="206"/>
      <c r="H5" s="206"/>
      <c r="I5" s="208"/>
      <c r="J5" s="209"/>
      <c r="K5" s="208"/>
      <c r="L5" s="208"/>
      <c r="M5" s="208"/>
      <c r="N5" s="208"/>
      <c r="O5" s="206"/>
    </row>
    <row r="6" spans="1:15" x14ac:dyDescent="0.2">
      <c r="A6" s="211" t="s">
        <v>136</v>
      </c>
      <c r="B6" s="211"/>
      <c r="C6" s="211"/>
      <c r="D6" s="211"/>
      <c r="E6" s="211"/>
      <c r="F6" s="211"/>
      <c r="G6" s="206"/>
      <c r="H6" s="206"/>
      <c r="I6" s="211" t="s">
        <v>136</v>
      </c>
      <c r="J6" s="211"/>
      <c r="K6" s="211"/>
      <c r="L6" s="211"/>
      <c r="M6" s="211"/>
      <c r="N6" s="211"/>
      <c r="O6" s="206"/>
    </row>
    <row r="7" spans="1:15" s="205" customFormat="1" ht="14.75" customHeight="1" x14ac:dyDescent="0.2">
      <c r="A7" s="210"/>
      <c r="B7" s="879" t="str">
        <f>Inv!$I$12</f>
        <v/>
      </c>
      <c r="C7" s="879"/>
      <c r="D7" s="879"/>
      <c r="E7" s="879"/>
      <c r="F7" s="879"/>
      <c r="G7" s="206"/>
      <c r="H7" s="206"/>
      <c r="I7" s="210"/>
      <c r="J7" s="879" t="str">
        <f>Inv!$I$12</f>
        <v/>
      </c>
      <c r="K7" s="879"/>
      <c r="L7" s="879"/>
      <c r="M7" s="879"/>
      <c r="N7" s="879"/>
      <c r="O7" s="213"/>
    </row>
    <row r="8" spans="1:15" s="205" customFormat="1" ht="14.75" customHeight="1" x14ac:dyDescent="0.2">
      <c r="A8" s="210"/>
      <c r="B8" s="879" t="str">
        <f>Inv!$I$13</f>
        <v/>
      </c>
      <c r="C8" s="879"/>
      <c r="D8" s="879"/>
      <c r="E8" s="879"/>
      <c r="F8" s="879"/>
      <c r="G8" s="206"/>
      <c r="H8" s="206"/>
      <c r="I8" s="210"/>
      <c r="J8" s="879" t="str">
        <f>Inv!$I$13</f>
        <v/>
      </c>
      <c r="K8" s="879"/>
      <c r="L8" s="879"/>
      <c r="M8" s="879"/>
      <c r="N8" s="879"/>
      <c r="O8" s="213"/>
    </row>
    <row r="9" spans="1:15" s="205" customFormat="1" ht="14.75" customHeight="1" x14ac:dyDescent="0.2">
      <c r="A9" s="210"/>
      <c r="B9" s="879" t="str">
        <f>Inv!$I$14</f>
        <v/>
      </c>
      <c r="C9" s="879"/>
      <c r="D9" s="879"/>
      <c r="E9" s="879"/>
      <c r="F9" s="879"/>
      <c r="G9" s="206"/>
      <c r="H9" s="206"/>
      <c r="I9" s="210"/>
      <c r="J9" s="879" t="str">
        <f>Inv!$I$14</f>
        <v/>
      </c>
      <c r="K9" s="879"/>
      <c r="L9" s="879"/>
      <c r="M9" s="879"/>
      <c r="N9" s="879"/>
      <c r="O9" s="213"/>
    </row>
    <row r="10" spans="1:15" s="205" customFormat="1" ht="14.75" customHeight="1" x14ac:dyDescent="0.2">
      <c r="A10" s="210"/>
      <c r="B10" s="879" t="str">
        <f>Inv!B15</f>
        <v xml:space="preserve">,  </v>
      </c>
      <c r="C10" s="879"/>
      <c r="D10" s="879"/>
      <c r="E10" s="879"/>
      <c r="F10" s="879"/>
      <c r="G10" s="206"/>
      <c r="H10" s="206"/>
      <c r="I10" s="210"/>
      <c r="J10" s="879" t="str">
        <f>Inv!B15</f>
        <v xml:space="preserve">,  </v>
      </c>
      <c r="K10" s="879"/>
      <c r="L10" s="879"/>
      <c r="M10" s="879"/>
      <c r="N10" s="879"/>
      <c r="O10" s="213"/>
    </row>
    <row r="11" spans="1:15" s="205" customFormat="1" ht="14.75" customHeight="1" x14ac:dyDescent="0.2">
      <c r="A11" s="210"/>
      <c r="B11" s="879" t="str">
        <f>Inv!B16</f>
        <v/>
      </c>
      <c r="C11" s="879"/>
      <c r="D11" s="879"/>
      <c r="E11" s="879"/>
      <c r="F11" s="879"/>
      <c r="G11" s="206"/>
      <c r="H11" s="206"/>
      <c r="I11" s="210"/>
      <c r="J11" s="879" t="str">
        <f>Inv!B16</f>
        <v/>
      </c>
      <c r="K11" s="879"/>
      <c r="L11" s="879"/>
      <c r="M11" s="879"/>
      <c r="N11" s="879"/>
      <c r="O11" s="213"/>
    </row>
    <row r="12" spans="1:15" s="205" customFormat="1" ht="14.75" customHeight="1" x14ac:dyDescent="0.2">
      <c r="A12" s="210"/>
      <c r="B12" s="880" t="s">
        <v>138</v>
      </c>
      <c r="C12" s="880"/>
      <c r="D12" s="879" t="str">
        <f>RIGHT(Inv!$I$17,LEN(Inv!$I$17)-9)</f>
        <v xml:space="preserve">  </v>
      </c>
      <c r="E12" s="879"/>
      <c r="F12" s="879"/>
      <c r="G12" s="206"/>
      <c r="H12" s="206"/>
      <c r="I12" s="210"/>
      <c r="J12" s="880" t="s">
        <v>138</v>
      </c>
      <c r="K12" s="880"/>
      <c r="L12" s="879" t="str">
        <f>RIGHT(Inv!$I$17,LEN(Inv!$I$17)-9)</f>
        <v xml:space="preserve">  </v>
      </c>
      <c r="M12" s="879"/>
      <c r="N12" s="879"/>
      <c r="O12" s="213"/>
    </row>
    <row r="13" spans="1:15" x14ac:dyDescent="0.2">
      <c r="A13" s="208"/>
      <c r="B13" s="207" t="s">
        <v>139</v>
      </c>
      <c r="C13" s="882" t="str">
        <f>Inv!$J$18</f>
        <v/>
      </c>
      <c r="D13" s="882"/>
      <c r="E13" s="882"/>
      <c r="F13" s="882"/>
      <c r="G13" s="206"/>
      <c r="H13" s="206"/>
      <c r="I13" s="208"/>
      <c r="J13" s="207" t="s">
        <v>139</v>
      </c>
      <c r="K13" s="882" t="str">
        <f>Inv!$J$18</f>
        <v/>
      </c>
      <c r="L13" s="882"/>
      <c r="M13" s="882"/>
      <c r="N13" s="882"/>
      <c r="O13" s="206"/>
    </row>
    <row r="14" spans="1:15" x14ac:dyDescent="0.2">
      <c r="A14" s="208"/>
      <c r="B14" s="880" t="s">
        <v>140</v>
      </c>
      <c r="C14" s="880"/>
      <c r="D14" s="880"/>
      <c r="E14" s="812">
        <f>Inv!Q6</f>
        <v>0</v>
      </c>
      <c r="F14" s="812"/>
      <c r="G14" s="206"/>
      <c r="H14" s="206"/>
      <c r="I14" s="208"/>
      <c r="J14" s="880" t="s">
        <v>140</v>
      </c>
      <c r="K14" s="880"/>
      <c r="L14" s="880"/>
      <c r="M14" s="812">
        <f>Inv!Q6</f>
        <v>0</v>
      </c>
      <c r="N14" s="812"/>
      <c r="O14" s="206"/>
    </row>
    <row r="15" spans="1:15" x14ac:dyDescent="0.2">
      <c r="A15" s="208"/>
      <c r="B15" s="880" t="str">
        <f>Home!A16 &amp; ":"</f>
        <v>Id Taxe ou # EORI:</v>
      </c>
      <c r="C15" s="880"/>
      <c r="D15" s="880"/>
      <c r="E15" s="812" t="str">
        <f>RIGHT(Inv!I20,LEN(Inv!I20)-18-IF(Francais,1,0))</f>
        <v/>
      </c>
      <c r="F15" s="812"/>
      <c r="G15" s="206"/>
      <c r="H15" s="206"/>
      <c r="I15" s="208"/>
      <c r="J15" s="880" t="str">
        <f>B15</f>
        <v>Id Taxe ou # EORI:</v>
      </c>
      <c r="K15" s="880"/>
      <c r="L15" s="880"/>
      <c r="M15" s="812" t="str">
        <f>RIGHT(Inv!I20,LEN(Inv!I20)-18-IF(Francais,1,0))</f>
        <v/>
      </c>
      <c r="N15" s="812"/>
      <c r="O15" s="206"/>
    </row>
    <row r="16" spans="1:15" x14ac:dyDescent="0.2">
      <c r="A16" s="209"/>
      <c r="B16" s="880" t="s">
        <v>161</v>
      </c>
      <c r="C16" s="880"/>
      <c r="D16" s="880"/>
      <c r="E16" s="883"/>
      <c r="F16" s="883"/>
      <c r="G16" s="206"/>
      <c r="H16" s="206"/>
      <c r="I16" s="209"/>
      <c r="J16" s="880" t="s">
        <v>161</v>
      </c>
      <c r="K16" s="880"/>
      <c r="L16" s="880"/>
      <c r="M16" s="344"/>
      <c r="N16" s="344"/>
      <c r="O16" s="206"/>
    </row>
    <row r="17" spans="1:15" ht="56" customHeight="1" x14ac:dyDescent="0.2">
      <c r="A17" s="206"/>
      <c r="B17" s="206"/>
      <c r="C17" s="206"/>
      <c r="D17" s="206"/>
      <c r="E17" s="206"/>
      <c r="F17" s="206"/>
      <c r="G17" s="206"/>
      <c r="H17" s="206"/>
      <c r="I17" s="206"/>
      <c r="J17" s="206"/>
      <c r="K17" s="206"/>
      <c r="L17" s="206"/>
      <c r="M17" s="206"/>
      <c r="N17" s="206"/>
      <c r="O17" s="206"/>
    </row>
    <row r="18" spans="1:15" x14ac:dyDescent="0.2">
      <c r="A18" s="211" t="s">
        <v>135</v>
      </c>
      <c r="B18" s="211"/>
      <c r="C18" s="211"/>
      <c r="D18" s="211"/>
      <c r="E18" s="211"/>
      <c r="F18" s="211"/>
      <c r="G18" s="206"/>
      <c r="H18" s="206"/>
      <c r="I18" s="211" t="s">
        <v>135</v>
      </c>
      <c r="J18" s="211"/>
      <c r="K18" s="211"/>
      <c r="L18" s="211"/>
      <c r="M18" s="211"/>
      <c r="N18" s="211"/>
      <c r="O18" s="206"/>
    </row>
    <row r="19" spans="1:15" s="57" customFormat="1" ht="12" customHeight="1" x14ac:dyDescent="0.2">
      <c r="A19" s="881" t="s">
        <v>137</v>
      </c>
      <c r="B19" s="881"/>
      <c r="C19" s="881"/>
      <c r="D19" s="881"/>
      <c r="E19" s="881"/>
      <c r="F19" s="881"/>
      <c r="G19" s="206"/>
      <c r="H19" s="206"/>
      <c r="I19" s="881" t="s">
        <v>137</v>
      </c>
      <c r="J19" s="881"/>
      <c r="K19" s="881"/>
      <c r="L19" s="881"/>
      <c r="M19" s="881"/>
      <c r="N19" s="881"/>
      <c r="O19" s="212"/>
    </row>
    <row r="20" spans="1:15" s="57" customFormat="1" ht="12" customHeight="1" x14ac:dyDescent="0.2">
      <c r="A20" s="881" t="s">
        <v>210</v>
      </c>
      <c r="B20" s="881"/>
      <c r="C20" s="881"/>
      <c r="D20" s="881"/>
      <c r="E20" s="881"/>
      <c r="F20" s="881"/>
      <c r="G20" s="206"/>
      <c r="H20" s="206"/>
      <c r="I20" s="881" t="s">
        <v>210</v>
      </c>
      <c r="J20" s="881"/>
      <c r="K20" s="881"/>
      <c r="L20" s="881"/>
      <c r="M20" s="881"/>
      <c r="N20" s="881"/>
      <c r="O20" s="212"/>
    </row>
    <row r="21" spans="1:15" x14ac:dyDescent="0.2">
      <c r="A21" s="208"/>
      <c r="B21" s="209"/>
      <c r="C21" s="208"/>
      <c r="D21" s="208"/>
      <c r="E21" s="208"/>
      <c r="F21" s="208"/>
      <c r="G21" s="206"/>
      <c r="H21" s="206"/>
      <c r="I21" s="208"/>
      <c r="J21" s="209"/>
      <c r="K21" s="208"/>
      <c r="L21" s="208"/>
      <c r="M21" s="208"/>
      <c r="N21" s="208"/>
      <c r="O21" s="206"/>
    </row>
    <row r="22" spans="1:15" x14ac:dyDescent="0.2">
      <c r="A22" s="211" t="s">
        <v>136</v>
      </c>
      <c r="B22" s="211"/>
      <c r="C22" s="211"/>
      <c r="D22" s="211"/>
      <c r="E22" s="211"/>
      <c r="F22" s="211"/>
      <c r="G22" s="206"/>
      <c r="H22" s="206"/>
      <c r="I22" s="211" t="s">
        <v>136</v>
      </c>
      <c r="J22" s="211"/>
      <c r="K22" s="211"/>
      <c r="L22" s="211"/>
      <c r="M22" s="211"/>
      <c r="N22" s="211"/>
      <c r="O22" s="206"/>
    </row>
    <row r="23" spans="1:15" s="205" customFormat="1" ht="14.75" customHeight="1" x14ac:dyDescent="0.2">
      <c r="A23" s="210"/>
      <c r="B23" s="879" t="str">
        <f>Inv!$I$12</f>
        <v/>
      </c>
      <c r="C23" s="879"/>
      <c r="D23" s="879"/>
      <c r="E23" s="879"/>
      <c r="F23" s="879"/>
      <c r="G23" s="206"/>
      <c r="H23" s="206"/>
      <c r="I23" s="210"/>
      <c r="J23" s="879" t="str">
        <f>Inv!$I$12</f>
        <v/>
      </c>
      <c r="K23" s="879"/>
      <c r="L23" s="879"/>
      <c r="M23" s="879"/>
      <c r="N23" s="879"/>
      <c r="O23" s="213"/>
    </row>
    <row r="24" spans="1:15" s="205" customFormat="1" ht="14.75" customHeight="1" x14ac:dyDescent="0.2">
      <c r="A24" s="210"/>
      <c r="B24" s="879" t="str">
        <f>Inv!$I$13</f>
        <v/>
      </c>
      <c r="C24" s="879"/>
      <c r="D24" s="879"/>
      <c r="E24" s="879"/>
      <c r="F24" s="879"/>
      <c r="G24" s="206"/>
      <c r="H24" s="206"/>
      <c r="I24" s="210"/>
      <c r="J24" s="879" t="str">
        <f>Inv!$I$13</f>
        <v/>
      </c>
      <c r="K24" s="879"/>
      <c r="L24" s="879"/>
      <c r="M24" s="879"/>
      <c r="N24" s="879"/>
      <c r="O24" s="213"/>
    </row>
    <row r="25" spans="1:15" s="205" customFormat="1" ht="14.75" customHeight="1" x14ac:dyDescent="0.2">
      <c r="A25" s="210"/>
      <c r="B25" s="879" t="str">
        <f>Inv!$I$14</f>
        <v/>
      </c>
      <c r="C25" s="879"/>
      <c r="D25" s="879"/>
      <c r="E25" s="879"/>
      <c r="F25" s="879"/>
      <c r="G25" s="206"/>
      <c r="H25" s="206"/>
      <c r="I25" s="210"/>
      <c r="J25" s="879" t="str">
        <f>Inv!$I$14</f>
        <v/>
      </c>
      <c r="K25" s="879"/>
      <c r="L25" s="879"/>
      <c r="M25" s="879"/>
      <c r="N25" s="879"/>
      <c r="O25" s="213"/>
    </row>
    <row r="26" spans="1:15" s="205" customFormat="1" ht="14.75" customHeight="1" x14ac:dyDescent="0.2">
      <c r="A26" s="210"/>
      <c r="B26" s="879" t="str">
        <f>Inv!B15</f>
        <v xml:space="preserve">,  </v>
      </c>
      <c r="C26" s="879"/>
      <c r="D26" s="879"/>
      <c r="E26" s="879"/>
      <c r="F26" s="879"/>
      <c r="G26" s="206"/>
      <c r="H26" s="206"/>
      <c r="I26" s="210"/>
      <c r="J26" s="879" t="str">
        <f>Inv!B15</f>
        <v xml:space="preserve">,  </v>
      </c>
      <c r="K26" s="879"/>
      <c r="L26" s="879"/>
      <c r="M26" s="879"/>
      <c r="N26" s="879"/>
      <c r="O26" s="213"/>
    </row>
    <row r="27" spans="1:15" s="205" customFormat="1" ht="14.75" customHeight="1" x14ac:dyDescent="0.2">
      <c r="A27" s="210"/>
      <c r="B27" s="879" t="str">
        <f>Inv!B16</f>
        <v/>
      </c>
      <c r="C27" s="879"/>
      <c r="D27" s="879"/>
      <c r="E27" s="879"/>
      <c r="F27" s="879"/>
      <c r="G27" s="206"/>
      <c r="H27" s="206"/>
      <c r="I27" s="210"/>
      <c r="J27" s="879" t="str">
        <f>Inv!B16</f>
        <v/>
      </c>
      <c r="K27" s="879"/>
      <c r="L27" s="879"/>
      <c r="M27" s="879"/>
      <c r="N27" s="879"/>
      <c r="O27" s="213"/>
    </row>
    <row r="28" spans="1:15" s="205" customFormat="1" ht="14.75" customHeight="1" x14ac:dyDescent="0.2">
      <c r="A28" s="210"/>
      <c r="B28" s="880" t="s">
        <v>138</v>
      </c>
      <c r="C28" s="880"/>
      <c r="D28" s="879" t="str">
        <f>RIGHT(Inv!$I$17,LEN(Inv!$I$17)-9)</f>
        <v xml:space="preserve">  </v>
      </c>
      <c r="E28" s="879"/>
      <c r="F28" s="879"/>
      <c r="G28" s="206"/>
      <c r="H28" s="206"/>
      <c r="I28" s="210"/>
      <c r="J28" s="880" t="s">
        <v>138</v>
      </c>
      <c r="K28" s="880"/>
      <c r="L28" s="879" t="str">
        <f>RIGHT(Inv!$I$17,LEN(Inv!$I$17)-9)</f>
        <v xml:space="preserve">  </v>
      </c>
      <c r="M28" s="879"/>
      <c r="N28" s="879"/>
      <c r="O28" s="213"/>
    </row>
    <row r="29" spans="1:15" x14ac:dyDescent="0.2">
      <c r="A29" s="208"/>
      <c r="B29" s="207" t="s">
        <v>139</v>
      </c>
      <c r="C29" s="882" t="str">
        <f>Inv!$J$18</f>
        <v/>
      </c>
      <c r="D29" s="882"/>
      <c r="E29" s="882"/>
      <c r="F29" s="882"/>
      <c r="G29" s="206"/>
      <c r="H29" s="206"/>
      <c r="I29" s="208"/>
      <c r="J29" s="207" t="s">
        <v>139</v>
      </c>
      <c r="K29" s="882" t="str">
        <f>Inv!$J$18</f>
        <v/>
      </c>
      <c r="L29" s="882"/>
      <c r="M29" s="882"/>
      <c r="N29" s="882"/>
      <c r="O29" s="206"/>
    </row>
    <row r="30" spans="1:15" x14ac:dyDescent="0.2">
      <c r="A30" s="208"/>
      <c r="B30" s="880" t="s">
        <v>140</v>
      </c>
      <c r="C30" s="880"/>
      <c r="D30" s="880"/>
      <c r="E30" s="812">
        <f>Inv!Q6</f>
        <v>0</v>
      </c>
      <c r="F30" s="812"/>
      <c r="G30" s="206"/>
      <c r="H30" s="206"/>
      <c r="I30" s="208"/>
      <c r="J30" s="880" t="s">
        <v>140</v>
      </c>
      <c r="K30" s="880"/>
      <c r="L30" s="880"/>
      <c r="M30" s="812">
        <f>Inv!Q6</f>
        <v>0</v>
      </c>
      <c r="N30" s="812"/>
      <c r="O30" s="206"/>
    </row>
    <row r="31" spans="1:15" x14ac:dyDescent="0.2">
      <c r="A31" s="208"/>
      <c r="B31" s="880" t="str">
        <f>B15</f>
        <v>Id Taxe ou # EORI:</v>
      </c>
      <c r="C31" s="880"/>
      <c r="D31" s="880"/>
      <c r="E31" s="812" t="str">
        <f>RIGHT(Inv!I20,LEN(Inv!I20)-18-IF(Francais,1,0))</f>
        <v/>
      </c>
      <c r="F31" s="812"/>
      <c r="G31" s="206"/>
      <c r="H31" s="206"/>
      <c r="I31" s="208"/>
      <c r="J31" s="880" t="str">
        <f>B15</f>
        <v>Id Taxe ou # EORI:</v>
      </c>
      <c r="K31" s="880"/>
      <c r="L31" s="880"/>
      <c r="M31" s="812" t="str">
        <f>RIGHT(Inv!I20,LEN(Inv!I20)-18-IF(Francais,1,0))</f>
        <v/>
      </c>
      <c r="N31" s="812"/>
      <c r="O31" s="206"/>
    </row>
    <row r="32" spans="1:15" x14ac:dyDescent="0.2">
      <c r="A32" s="209"/>
      <c r="B32" s="880" t="s">
        <v>161</v>
      </c>
      <c r="C32" s="880"/>
      <c r="D32" s="880"/>
      <c r="E32" s="883"/>
      <c r="F32" s="883"/>
      <c r="G32" s="206"/>
      <c r="H32" s="206"/>
      <c r="I32" s="209"/>
      <c r="J32" s="880" t="s">
        <v>161</v>
      </c>
      <c r="K32" s="880"/>
      <c r="L32" s="880"/>
      <c r="M32" s="883"/>
      <c r="N32" s="883"/>
      <c r="O32" s="206"/>
    </row>
    <row r="33" spans="1:15" ht="75" customHeight="1" x14ac:dyDescent="0.2">
      <c r="A33" s="206"/>
      <c r="B33" s="206"/>
      <c r="C33" s="206"/>
      <c r="D33" s="206"/>
      <c r="E33" s="206"/>
      <c r="F33" s="206"/>
      <c r="G33" s="206"/>
      <c r="H33" s="206"/>
      <c r="I33" s="206"/>
      <c r="J33" s="206"/>
      <c r="K33" s="206"/>
      <c r="L33" s="206"/>
      <c r="M33" s="206"/>
      <c r="N33" s="206"/>
      <c r="O33" s="206"/>
    </row>
    <row r="34" spans="1:15" x14ac:dyDescent="0.2">
      <c r="A34" s="211" t="s">
        <v>135</v>
      </c>
      <c r="B34" s="211"/>
      <c r="C34" s="211"/>
      <c r="D34" s="211"/>
      <c r="E34" s="211"/>
      <c r="F34" s="211"/>
      <c r="G34" s="206"/>
      <c r="H34" s="206"/>
      <c r="I34" s="211" t="s">
        <v>135</v>
      </c>
      <c r="J34" s="211"/>
      <c r="K34" s="211"/>
      <c r="L34" s="211"/>
      <c r="M34" s="211"/>
      <c r="N34" s="211"/>
      <c r="O34" s="206"/>
    </row>
    <row r="35" spans="1:15" s="57" customFormat="1" ht="12" customHeight="1" x14ac:dyDescent="0.2">
      <c r="A35" s="881" t="s">
        <v>137</v>
      </c>
      <c r="B35" s="881"/>
      <c r="C35" s="881"/>
      <c r="D35" s="881"/>
      <c r="E35" s="881"/>
      <c r="F35" s="881"/>
      <c r="G35" s="206"/>
      <c r="H35" s="206"/>
      <c r="I35" s="881" t="s">
        <v>137</v>
      </c>
      <c r="J35" s="881"/>
      <c r="K35" s="881"/>
      <c r="L35" s="881"/>
      <c r="M35" s="881"/>
      <c r="N35" s="881"/>
      <c r="O35" s="212"/>
    </row>
    <row r="36" spans="1:15" s="57" customFormat="1" ht="12" customHeight="1" x14ac:dyDescent="0.2">
      <c r="A36" s="881" t="s">
        <v>210</v>
      </c>
      <c r="B36" s="881"/>
      <c r="C36" s="881"/>
      <c r="D36" s="881"/>
      <c r="E36" s="881"/>
      <c r="F36" s="881"/>
      <c r="G36" s="206"/>
      <c r="H36" s="206"/>
      <c r="I36" s="881" t="s">
        <v>210</v>
      </c>
      <c r="J36" s="881"/>
      <c r="K36" s="881"/>
      <c r="L36" s="881"/>
      <c r="M36" s="881"/>
      <c r="N36" s="881"/>
      <c r="O36" s="212"/>
    </row>
    <row r="37" spans="1:15" x14ac:dyDescent="0.2">
      <c r="A37" s="208"/>
      <c r="B37" s="209"/>
      <c r="C37" s="208"/>
      <c r="D37" s="208"/>
      <c r="E37" s="208"/>
      <c r="F37" s="208"/>
      <c r="G37" s="206"/>
      <c r="H37" s="206"/>
      <c r="I37" s="208"/>
      <c r="J37" s="209"/>
      <c r="K37" s="208"/>
      <c r="L37" s="208"/>
      <c r="M37" s="208"/>
      <c r="N37" s="208"/>
      <c r="O37" s="206"/>
    </row>
    <row r="38" spans="1:15" x14ac:dyDescent="0.2">
      <c r="A38" s="211" t="s">
        <v>136</v>
      </c>
      <c r="B38" s="211"/>
      <c r="C38" s="211"/>
      <c r="D38" s="211"/>
      <c r="E38" s="211"/>
      <c r="F38" s="211"/>
      <c r="G38" s="206"/>
      <c r="H38" s="206"/>
      <c r="I38" s="211" t="s">
        <v>136</v>
      </c>
      <c r="J38" s="211"/>
      <c r="K38" s="211"/>
      <c r="L38" s="211"/>
      <c r="M38" s="211"/>
      <c r="N38" s="211"/>
      <c r="O38" s="206"/>
    </row>
    <row r="39" spans="1:15" s="205" customFormat="1" ht="14.75" customHeight="1" x14ac:dyDescent="0.2">
      <c r="A39" s="210"/>
      <c r="B39" s="879" t="str">
        <f>Inv!$I$12</f>
        <v/>
      </c>
      <c r="C39" s="879"/>
      <c r="D39" s="879"/>
      <c r="E39" s="879"/>
      <c r="F39" s="879"/>
      <c r="G39" s="206"/>
      <c r="H39" s="206"/>
      <c r="I39" s="210"/>
      <c r="J39" s="879" t="str">
        <f>Inv!$I$12</f>
        <v/>
      </c>
      <c r="K39" s="879"/>
      <c r="L39" s="879"/>
      <c r="M39" s="879"/>
      <c r="N39" s="879"/>
      <c r="O39" s="213"/>
    </row>
    <row r="40" spans="1:15" s="205" customFormat="1" ht="14.75" customHeight="1" x14ac:dyDescent="0.2">
      <c r="A40" s="210"/>
      <c r="B40" s="879" t="str">
        <f>Inv!$I$13</f>
        <v/>
      </c>
      <c r="C40" s="879"/>
      <c r="D40" s="879"/>
      <c r="E40" s="879"/>
      <c r="F40" s="879"/>
      <c r="G40" s="206"/>
      <c r="H40" s="206"/>
      <c r="I40" s="210"/>
      <c r="J40" s="879" t="str">
        <f>Inv!$I$13</f>
        <v/>
      </c>
      <c r="K40" s="879"/>
      <c r="L40" s="879"/>
      <c r="M40" s="879"/>
      <c r="N40" s="879"/>
      <c r="O40" s="213"/>
    </row>
    <row r="41" spans="1:15" s="205" customFormat="1" ht="14.75" customHeight="1" x14ac:dyDescent="0.2">
      <c r="A41" s="210"/>
      <c r="B41" s="879" t="str">
        <f>Inv!$I$14</f>
        <v/>
      </c>
      <c r="C41" s="879"/>
      <c r="D41" s="879"/>
      <c r="E41" s="879"/>
      <c r="F41" s="879"/>
      <c r="G41" s="206"/>
      <c r="H41" s="206"/>
      <c r="I41" s="210"/>
      <c r="J41" s="879" t="str">
        <f>Inv!$I$14</f>
        <v/>
      </c>
      <c r="K41" s="879"/>
      <c r="L41" s="879"/>
      <c r="M41" s="879"/>
      <c r="N41" s="879"/>
      <c r="O41" s="213"/>
    </row>
    <row r="42" spans="1:15" s="205" customFormat="1" ht="14.75" customHeight="1" x14ac:dyDescent="0.2">
      <c r="A42" s="210"/>
      <c r="B42" s="879" t="str">
        <f>Inv!B15</f>
        <v xml:space="preserve">,  </v>
      </c>
      <c r="C42" s="879"/>
      <c r="D42" s="879"/>
      <c r="E42" s="879"/>
      <c r="F42" s="879"/>
      <c r="G42" s="206"/>
      <c r="H42" s="206"/>
      <c r="I42" s="210"/>
      <c r="J42" s="879" t="str">
        <f>Inv!B15</f>
        <v xml:space="preserve">,  </v>
      </c>
      <c r="K42" s="879"/>
      <c r="L42" s="879"/>
      <c r="M42" s="879"/>
      <c r="N42" s="879"/>
      <c r="O42" s="213"/>
    </row>
    <row r="43" spans="1:15" s="205" customFormat="1" ht="14.75" customHeight="1" x14ac:dyDescent="0.2">
      <c r="A43" s="210"/>
      <c r="B43" s="879" t="str">
        <f>Inv!B16</f>
        <v/>
      </c>
      <c r="C43" s="879"/>
      <c r="D43" s="879"/>
      <c r="E43" s="879"/>
      <c r="F43" s="879"/>
      <c r="G43" s="206"/>
      <c r="H43" s="206"/>
      <c r="I43" s="210"/>
      <c r="J43" s="879" t="str">
        <f>Inv!B16</f>
        <v/>
      </c>
      <c r="K43" s="879"/>
      <c r="L43" s="879"/>
      <c r="M43" s="879"/>
      <c r="N43" s="879"/>
      <c r="O43" s="213"/>
    </row>
    <row r="44" spans="1:15" s="205" customFormat="1" ht="14.75" customHeight="1" x14ac:dyDescent="0.2">
      <c r="A44" s="210"/>
      <c r="B44" s="880" t="s">
        <v>138</v>
      </c>
      <c r="C44" s="880"/>
      <c r="D44" s="879" t="str">
        <f>RIGHT(Inv!$I$17,LEN(Inv!$I$17)-9)</f>
        <v xml:space="preserve">  </v>
      </c>
      <c r="E44" s="879"/>
      <c r="F44" s="879"/>
      <c r="G44" s="206"/>
      <c r="H44" s="206"/>
      <c r="I44" s="210"/>
      <c r="J44" s="880" t="s">
        <v>138</v>
      </c>
      <c r="K44" s="880"/>
      <c r="L44" s="879" t="str">
        <f>RIGHT(Inv!$I$17,LEN(Inv!$I$17)-9)</f>
        <v xml:space="preserve">  </v>
      </c>
      <c r="M44" s="879"/>
      <c r="N44" s="879"/>
      <c r="O44" s="213"/>
    </row>
    <row r="45" spans="1:15" x14ac:dyDescent="0.2">
      <c r="A45" s="208"/>
      <c r="B45" s="207" t="s">
        <v>139</v>
      </c>
      <c r="C45" s="882" t="str">
        <f>Inv!$J$18</f>
        <v/>
      </c>
      <c r="D45" s="882"/>
      <c r="E45" s="882"/>
      <c r="F45" s="882"/>
      <c r="G45" s="206"/>
      <c r="H45" s="206"/>
      <c r="I45" s="208"/>
      <c r="J45" s="207" t="s">
        <v>139</v>
      </c>
      <c r="K45" s="882" t="str">
        <f>Inv!$J$18</f>
        <v/>
      </c>
      <c r="L45" s="882"/>
      <c r="M45" s="882"/>
      <c r="N45" s="882"/>
      <c r="O45" s="206"/>
    </row>
    <row r="46" spans="1:15" x14ac:dyDescent="0.2">
      <c r="A46" s="208"/>
      <c r="B46" s="880" t="s">
        <v>140</v>
      </c>
      <c r="C46" s="880"/>
      <c r="D46" s="880"/>
      <c r="E46" s="812">
        <f>Inv!Q6</f>
        <v>0</v>
      </c>
      <c r="F46" s="812"/>
      <c r="G46" s="206"/>
      <c r="H46" s="206"/>
      <c r="I46" s="208"/>
      <c r="J46" s="880" t="s">
        <v>140</v>
      </c>
      <c r="K46" s="880"/>
      <c r="L46" s="880"/>
      <c r="M46" s="812">
        <f>Inv!Q6</f>
        <v>0</v>
      </c>
      <c r="N46" s="812"/>
      <c r="O46" s="206"/>
    </row>
    <row r="47" spans="1:15" x14ac:dyDescent="0.2">
      <c r="A47" s="208"/>
      <c r="B47" s="880" t="str">
        <f>B15</f>
        <v>Id Taxe ou # EORI:</v>
      </c>
      <c r="C47" s="880"/>
      <c r="D47" s="880"/>
      <c r="E47" s="812" t="str">
        <f>RIGHT(Inv!I20,LEN(Inv!I20)-18-IF(Francais,1,0))</f>
        <v/>
      </c>
      <c r="F47" s="812"/>
      <c r="G47" s="206"/>
      <c r="H47" s="206"/>
      <c r="I47" s="208"/>
      <c r="J47" s="880" t="str">
        <f>B15</f>
        <v>Id Taxe ou # EORI:</v>
      </c>
      <c r="K47" s="880"/>
      <c r="L47" s="880"/>
      <c r="M47" s="812" t="str">
        <f>RIGHT(Inv!I20,LEN(Inv!I20)-18-IF(Francais,1,0))</f>
        <v/>
      </c>
      <c r="N47" s="812"/>
      <c r="O47" s="206"/>
    </row>
    <row r="48" spans="1:15" x14ac:dyDescent="0.2">
      <c r="A48" s="209"/>
      <c r="B48" s="880" t="s">
        <v>161</v>
      </c>
      <c r="C48" s="880"/>
      <c r="D48" s="880"/>
      <c r="E48" s="883"/>
      <c r="F48" s="883"/>
      <c r="G48" s="206"/>
      <c r="H48" s="206"/>
      <c r="I48" s="209"/>
      <c r="J48" s="880" t="s">
        <v>161</v>
      </c>
      <c r="K48" s="880"/>
      <c r="L48" s="880"/>
      <c r="M48" s="883"/>
      <c r="N48" s="883"/>
      <c r="O48" s="206"/>
    </row>
    <row r="49" spans="1:15" x14ac:dyDescent="0.2">
      <c r="A49" s="206"/>
      <c r="B49" s="206"/>
      <c r="C49" s="206"/>
      <c r="D49" s="206"/>
      <c r="E49" s="206"/>
      <c r="F49" s="206"/>
      <c r="G49" s="206"/>
      <c r="H49" s="206"/>
      <c r="I49" s="206"/>
      <c r="J49" s="206"/>
      <c r="K49" s="206"/>
      <c r="L49" s="206"/>
      <c r="M49" s="206"/>
      <c r="N49" s="206"/>
      <c r="O49" s="206"/>
    </row>
    <row r="54" spans="1:15" x14ac:dyDescent="0.2">
      <c r="M54" s="57"/>
    </row>
    <row r="55" spans="1:15" x14ac:dyDescent="0.2">
      <c r="M55" s="57"/>
    </row>
    <row r="64" spans="1:15" x14ac:dyDescent="0.2">
      <c r="M64" s="111"/>
    </row>
  </sheetData>
  <sheetProtection algorithmName="SHA-512" hashValue="YIRyiyxF6s59tZ5/T3waYjeIleQFo1ZLbVAFYQ8d82497cv9qYgpM62sY9YeXDFbyOZbWmzrFmUs5qXwNjooug==" saltValue="j8rMlahaUZH6KQ6E9GYRvA==" spinCount="100000" sheet="1" objects="1" scenarios="1" selectLockedCells="1"/>
  <mergeCells count="95">
    <mergeCell ref="C45:F45"/>
    <mergeCell ref="B46:D46"/>
    <mergeCell ref="E48:F48"/>
    <mergeCell ref="B44:C44"/>
    <mergeCell ref="D44:F44"/>
    <mergeCell ref="B48:D48"/>
    <mergeCell ref="B47:D47"/>
    <mergeCell ref="E46:F46"/>
    <mergeCell ref="E47:F47"/>
    <mergeCell ref="M48:N48"/>
    <mergeCell ref="K45:N45"/>
    <mergeCell ref="J46:L46"/>
    <mergeCell ref="J43:N43"/>
    <mergeCell ref="J44:K44"/>
    <mergeCell ref="L44:N44"/>
    <mergeCell ref="J48:L48"/>
    <mergeCell ref="J47:L47"/>
    <mergeCell ref="M46:N46"/>
    <mergeCell ref="M47:N47"/>
    <mergeCell ref="J42:N42"/>
    <mergeCell ref="B42:F42"/>
    <mergeCell ref="B41:F41"/>
    <mergeCell ref="J41:N41"/>
    <mergeCell ref="B43:F43"/>
    <mergeCell ref="D28:F28"/>
    <mergeCell ref="J28:K28"/>
    <mergeCell ref="L28:N28"/>
    <mergeCell ref="M32:N32"/>
    <mergeCell ref="C29:F29"/>
    <mergeCell ref="B30:D30"/>
    <mergeCell ref="J30:L30"/>
    <mergeCell ref="K13:N13"/>
    <mergeCell ref="B16:D16"/>
    <mergeCell ref="J16:L16"/>
    <mergeCell ref="J7:N7"/>
    <mergeCell ref="J8:N8"/>
    <mergeCell ref="J9:N9"/>
    <mergeCell ref="B14:D14"/>
    <mergeCell ref="B7:F7"/>
    <mergeCell ref="B8:F8"/>
    <mergeCell ref="J12:K12"/>
    <mergeCell ref="B12:C12"/>
    <mergeCell ref="C13:F13"/>
    <mergeCell ref="L12:N12"/>
    <mergeCell ref="B15:D15"/>
    <mergeCell ref="J15:L15"/>
    <mergeCell ref="E15:F15"/>
    <mergeCell ref="I3:N3"/>
    <mergeCell ref="I4:N4"/>
    <mergeCell ref="A19:F19"/>
    <mergeCell ref="A20:F20"/>
    <mergeCell ref="I19:N19"/>
    <mergeCell ref="I20:N20"/>
    <mergeCell ref="B9:F9"/>
    <mergeCell ref="D12:F12"/>
    <mergeCell ref="B11:F11"/>
    <mergeCell ref="B10:F10"/>
    <mergeCell ref="A3:F3"/>
    <mergeCell ref="A4:F4"/>
    <mergeCell ref="J10:N10"/>
    <mergeCell ref="J14:L14"/>
    <mergeCell ref="J11:N11"/>
    <mergeCell ref="E16:F16"/>
    <mergeCell ref="J25:N25"/>
    <mergeCell ref="B40:F40"/>
    <mergeCell ref="J40:N40"/>
    <mergeCell ref="B39:F39"/>
    <mergeCell ref="J39:N39"/>
    <mergeCell ref="A36:F36"/>
    <mergeCell ref="I36:N36"/>
    <mergeCell ref="A35:F35"/>
    <mergeCell ref="I35:N35"/>
    <mergeCell ref="B31:D31"/>
    <mergeCell ref="J31:L31"/>
    <mergeCell ref="J27:N27"/>
    <mergeCell ref="B27:F27"/>
    <mergeCell ref="K29:N29"/>
    <mergeCell ref="E32:F32"/>
    <mergeCell ref="B28:C28"/>
    <mergeCell ref="J26:N26"/>
    <mergeCell ref="B32:D32"/>
    <mergeCell ref="J32:L32"/>
    <mergeCell ref="E14:F14"/>
    <mergeCell ref="M14:N14"/>
    <mergeCell ref="M15:N15"/>
    <mergeCell ref="E30:F30"/>
    <mergeCell ref="E31:F31"/>
    <mergeCell ref="M30:N30"/>
    <mergeCell ref="M31:N31"/>
    <mergeCell ref="B23:F23"/>
    <mergeCell ref="B24:F24"/>
    <mergeCell ref="J23:N23"/>
    <mergeCell ref="J24:N24"/>
    <mergeCell ref="B25:F25"/>
    <mergeCell ref="B26:F26"/>
  </mergeCells>
  <conditionalFormatting sqref="A2:F2 A5:F13 A3:A4 A16:F16 A14:E15">
    <cfRule type="expression" dxfId="139" priority="7">
      <formula>OR(Checkbox_EtiqShip1=FALSE,Checkbox_EtiqShip1=0)</formula>
    </cfRule>
  </conditionalFormatting>
  <conditionalFormatting sqref="I2:N2 I5:N13 I3:I4 I16:N16 I14:M15">
    <cfRule type="expression" dxfId="138" priority="8">
      <formula>OR(Checkbox_EtiqShip2=FALSE,Checkbox_EtiqShip2=0)</formula>
    </cfRule>
  </conditionalFormatting>
  <conditionalFormatting sqref="A18:F18 A21:F29 A19:A20 A32:F32 A30:E31">
    <cfRule type="expression" dxfId="137" priority="9">
      <formula>OR(Checkbox_EtiqShip3=FALSE,Checkbox_EtiqShip3=0)</formula>
    </cfRule>
  </conditionalFormatting>
  <conditionalFormatting sqref="I18:N18 I21:N29 I19:I20 I32:N32 I30:M31">
    <cfRule type="expression" dxfId="136" priority="10">
      <formula>OR(Checkbox_EtiqShip4=FALSE,Checkbox_EtiqShip4=0)</formula>
    </cfRule>
  </conditionalFormatting>
  <conditionalFormatting sqref="A34:F34 A37:F45 A35:A36 A48:F48 A46:E47">
    <cfRule type="expression" dxfId="135" priority="11">
      <formula>OR(Checkbox_EtiqShip5=FALSE,Checkbox_EtiqShip5=0)</formula>
    </cfRule>
  </conditionalFormatting>
  <conditionalFormatting sqref="I34:N34 I37:N45 I35:I36 I48:N48 I46:M47">
    <cfRule type="expression" dxfId="134" priority="12">
      <formula>OR(Checkbox_EtiqShip6=FALSE,Checkbox_EtiqShip6=0)</formula>
    </cfRule>
  </conditionalFormatting>
  <pageMargins left="0.25" right="0" top="0.5" bottom="0.5" header="0.3" footer="0.3"/>
  <pageSetup scale="87"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16737" r:id="rId4" name="Chkbox_EtiqShip1">
              <controlPr defaultSize="0" print="0" autoFill="0" autoLine="0" autoPict="0">
                <anchor moveWithCells="1">
                  <from>
                    <xdr:col>0</xdr:col>
                    <xdr:colOff>152400</xdr:colOff>
                    <xdr:row>0</xdr:row>
                    <xdr:rowOff>177800</xdr:rowOff>
                  </from>
                  <to>
                    <xdr:col>5</xdr:col>
                    <xdr:colOff>330200</xdr:colOff>
                    <xdr:row>0</xdr:row>
                    <xdr:rowOff>406400</xdr:rowOff>
                  </to>
                </anchor>
              </controlPr>
            </control>
          </mc:Choice>
        </mc:AlternateContent>
        <mc:AlternateContent xmlns:mc="http://schemas.openxmlformats.org/markup-compatibility/2006">
          <mc:Choice Requires="x14">
            <control shapeId="116738" r:id="rId5" name="Chkbox_EtiqShip2">
              <controlPr defaultSize="0" print="0" autoFill="0" autoLine="0" autoPict="0">
                <anchor moveWithCells="1">
                  <from>
                    <xdr:col>8</xdr:col>
                    <xdr:colOff>152400</xdr:colOff>
                    <xdr:row>0</xdr:row>
                    <xdr:rowOff>177800</xdr:rowOff>
                  </from>
                  <to>
                    <xdr:col>13</xdr:col>
                    <xdr:colOff>368300</xdr:colOff>
                    <xdr:row>0</xdr:row>
                    <xdr:rowOff>406400</xdr:rowOff>
                  </to>
                </anchor>
              </controlPr>
            </control>
          </mc:Choice>
        </mc:AlternateContent>
        <mc:AlternateContent xmlns:mc="http://schemas.openxmlformats.org/markup-compatibility/2006">
          <mc:Choice Requires="x14">
            <control shapeId="116741" r:id="rId6" name="Chkbox_EtiqShip3">
              <controlPr defaultSize="0" print="0" autoFill="0" autoLine="0" autoPict="0">
                <anchor moveWithCells="1">
                  <from>
                    <xdr:col>0</xdr:col>
                    <xdr:colOff>152400</xdr:colOff>
                    <xdr:row>16</xdr:row>
                    <xdr:rowOff>444500</xdr:rowOff>
                  </from>
                  <to>
                    <xdr:col>5</xdr:col>
                    <xdr:colOff>330200</xdr:colOff>
                    <xdr:row>16</xdr:row>
                    <xdr:rowOff>673100</xdr:rowOff>
                  </to>
                </anchor>
              </controlPr>
            </control>
          </mc:Choice>
        </mc:AlternateContent>
        <mc:AlternateContent xmlns:mc="http://schemas.openxmlformats.org/markup-compatibility/2006">
          <mc:Choice Requires="x14">
            <control shapeId="116742" r:id="rId7" name="Chkbox_EtiqShip4">
              <controlPr defaultSize="0" print="0" autoFill="0" autoLine="0" autoPict="0">
                <anchor moveWithCells="1">
                  <from>
                    <xdr:col>8</xdr:col>
                    <xdr:colOff>152400</xdr:colOff>
                    <xdr:row>16</xdr:row>
                    <xdr:rowOff>444500</xdr:rowOff>
                  </from>
                  <to>
                    <xdr:col>13</xdr:col>
                    <xdr:colOff>368300</xdr:colOff>
                    <xdr:row>16</xdr:row>
                    <xdr:rowOff>673100</xdr:rowOff>
                  </to>
                </anchor>
              </controlPr>
            </control>
          </mc:Choice>
        </mc:AlternateContent>
        <mc:AlternateContent xmlns:mc="http://schemas.openxmlformats.org/markup-compatibility/2006">
          <mc:Choice Requires="x14">
            <control shapeId="116743" r:id="rId8" name="Chkbox_EtiqShip5">
              <controlPr defaultSize="0" print="0" autoFill="0" autoLine="0" autoPict="0">
                <anchor moveWithCells="1">
                  <from>
                    <xdr:col>0</xdr:col>
                    <xdr:colOff>152400</xdr:colOff>
                    <xdr:row>32</xdr:row>
                    <xdr:rowOff>711200</xdr:rowOff>
                  </from>
                  <to>
                    <xdr:col>5</xdr:col>
                    <xdr:colOff>330200</xdr:colOff>
                    <xdr:row>32</xdr:row>
                    <xdr:rowOff>914400</xdr:rowOff>
                  </to>
                </anchor>
              </controlPr>
            </control>
          </mc:Choice>
        </mc:AlternateContent>
        <mc:AlternateContent xmlns:mc="http://schemas.openxmlformats.org/markup-compatibility/2006">
          <mc:Choice Requires="x14">
            <control shapeId="116744" r:id="rId9" name="Chkbox_EtiqShip6">
              <controlPr defaultSize="0" print="0" autoFill="0" autoLine="0" autoPict="0">
                <anchor moveWithCells="1">
                  <from>
                    <xdr:col>8</xdr:col>
                    <xdr:colOff>152400</xdr:colOff>
                    <xdr:row>32</xdr:row>
                    <xdr:rowOff>711200</xdr:rowOff>
                  </from>
                  <to>
                    <xdr:col>13</xdr:col>
                    <xdr:colOff>330200</xdr:colOff>
                    <xdr:row>32</xdr:row>
                    <xdr:rowOff>914400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theme="1" tint="0.34998626667073579"/>
    <pageSetUpPr fitToPage="1"/>
  </sheetPr>
  <dimension ref="A1:Q444"/>
  <sheetViews>
    <sheetView showGridLines="0" topLeftCell="A3" zoomScaleNormal="100" workbookViewId="0"/>
  </sheetViews>
  <sheetFormatPr baseColWidth="10" defaultColWidth="8.6640625" defaultRowHeight="16.25" customHeight="1" x14ac:dyDescent="0.2"/>
  <cols>
    <col min="1" max="1" width="1.6640625" style="17" customWidth="1"/>
    <col min="2" max="2" width="7.1640625" hidden="1" customWidth="1"/>
    <col min="3" max="3" width="11.5" style="17" customWidth="1"/>
    <col min="4" max="4" width="12.1640625" style="17" customWidth="1"/>
    <col min="5" max="5" width="14.1640625" style="17" customWidth="1"/>
    <col min="6" max="6" width="12.1640625" style="17" customWidth="1"/>
    <col min="7" max="7" width="7.6640625" style="17" customWidth="1"/>
    <col min="8" max="8" width="10.6640625" style="4" customWidth="1"/>
    <col min="9" max="9" width="12.1640625" style="17" customWidth="1"/>
    <col min="10" max="10" width="14" style="17" customWidth="1"/>
    <col min="11" max="11" width="6.33203125" style="4" customWidth="1"/>
    <col min="12" max="12" width="15.1640625" style="17" customWidth="1"/>
    <col min="13" max="13" width="10.5" style="17" customWidth="1"/>
    <col min="14" max="15" width="14.1640625" customWidth="1"/>
    <col min="18" max="18" width="9.83203125" bestFit="1" customWidth="1"/>
  </cols>
  <sheetData>
    <row r="1" spans="1:17" ht="16.25" hidden="1" customHeight="1" x14ac:dyDescent="0.25">
      <c r="A1" s="216"/>
      <c r="B1" s="215"/>
      <c r="C1" s="215"/>
      <c r="D1" s="215"/>
      <c r="E1" s="215"/>
      <c r="F1" s="215"/>
      <c r="G1" s="228"/>
      <c r="H1" s="223"/>
      <c r="I1" s="215"/>
      <c r="J1" s="216"/>
      <c r="K1" s="37"/>
      <c r="L1" s="223"/>
      <c r="M1" s="223"/>
      <c r="N1" s="215"/>
      <c r="O1" s="215"/>
      <c r="P1" s="215"/>
      <c r="Q1" s="215"/>
    </row>
    <row r="2" spans="1:17" ht="16.25" hidden="1" customHeight="1" x14ac:dyDescent="0.2">
      <c r="A2" s="216"/>
      <c r="B2" s="217"/>
      <c r="C2" s="216"/>
      <c r="D2" s="216"/>
      <c r="E2" s="216"/>
      <c r="F2" s="216"/>
      <c r="G2" s="216"/>
      <c r="H2" s="37"/>
      <c r="I2" s="215"/>
      <c r="J2" s="216"/>
      <c r="K2" s="37"/>
      <c r="L2" s="223"/>
      <c r="M2" s="223"/>
      <c r="N2" s="215"/>
      <c r="O2" s="215"/>
      <c r="P2" s="215"/>
      <c r="Q2" s="215"/>
    </row>
    <row r="3" spans="1:17" ht="16.25" customHeight="1" x14ac:dyDescent="0.25">
      <c r="A3" s="216"/>
      <c r="B3" s="215"/>
      <c r="C3" s="216"/>
      <c r="D3" s="218" t="str">
        <f>"# Client"</f>
        <v># Client</v>
      </c>
      <c r="E3" s="751" t="str">
        <f>Quote!P5</f>
        <v/>
      </c>
      <c r="F3" s="218" t="s">
        <v>154</v>
      </c>
      <c r="G3" s="900" t="str">
        <f>IF(ISBLANK(Inv!Q1),"",Inv!Q1)</f>
        <v/>
      </c>
      <c r="H3" s="900"/>
      <c r="I3" s="218" t="s">
        <v>176</v>
      </c>
      <c r="J3" s="908" t="str">
        <f>Quote!N1</f>
        <v>Email this quote (the .xls file) to validate it</v>
      </c>
      <c r="K3" s="908"/>
      <c r="L3" s="404" t="s">
        <v>141</v>
      </c>
      <c r="M3" s="908" t="str">
        <f>Home!B10</f>
        <v/>
      </c>
      <c r="N3" s="908"/>
      <c r="O3" s="215"/>
      <c r="P3" s="215"/>
      <c r="Q3" s="215"/>
    </row>
    <row r="4" spans="1:17" ht="16.25" customHeight="1" x14ac:dyDescent="0.25">
      <c r="A4" s="216"/>
      <c r="B4" s="215"/>
      <c r="C4" s="308" t="s">
        <v>257</v>
      </c>
      <c r="D4" s="216"/>
      <c r="E4" s="216"/>
      <c r="F4" s="216"/>
      <c r="G4" s="216"/>
      <c r="H4" s="751" t="str">
        <f>IF(AND(QUOTE_Split_SoftwareHardware,QUOTE_InternetDownload),"INTERNET DOWNLOAD","")</f>
        <v/>
      </c>
      <c r="I4" s="216"/>
      <c r="J4" s="216"/>
      <c r="K4" s="215"/>
      <c r="L4" s="215"/>
      <c r="M4" s="215"/>
      <c r="N4" s="215"/>
      <c r="O4" s="215"/>
      <c r="P4" s="215"/>
      <c r="Q4" s="215"/>
    </row>
    <row r="5" spans="1:17" ht="16.25" hidden="1" customHeight="1" x14ac:dyDescent="0.2">
      <c r="A5" s="216"/>
      <c r="B5" s="215"/>
      <c r="C5" s="215"/>
      <c r="D5" s="215"/>
      <c r="E5" s="215"/>
      <c r="F5" s="215"/>
      <c r="G5" s="215"/>
      <c r="H5" s="215"/>
      <c r="I5" s="215"/>
      <c r="J5" s="215"/>
      <c r="K5" s="215"/>
      <c r="L5" s="215"/>
      <c r="M5" s="215"/>
      <c r="N5" s="215"/>
      <c r="O5" s="215"/>
      <c r="P5" s="215"/>
      <c r="Q5" s="215"/>
    </row>
    <row r="6" spans="1:17" ht="16.25" hidden="1" customHeight="1" x14ac:dyDescent="0.2">
      <c r="A6" s="216"/>
      <c r="B6" s="215"/>
      <c r="C6" s="405" t="e">
        <f>IF((Quote!Q57/IF(IndexCurrency=3,TauxUS,IF(IndexCurrency=2,TauxEuro,1)))&gt;2000,IF(IndexCurrency=3,"NAFTA","No. CERS"),"")</f>
        <v>#REF!</v>
      </c>
      <c r="D6" s="890"/>
      <c r="E6" s="891"/>
      <c r="F6" s="892"/>
      <c r="G6" s="278" t="e">
        <f>IF((Quote!Q57/IF(IndexCurrency=3,TauxUS,IF(IndexCurrency=2,TauxEuro,1)))&gt;2000,IF(IndexCurrency=3,"+",""),"")</f>
        <v>#REF!</v>
      </c>
      <c r="H6" s="277"/>
      <c r="I6" s="279" t="e">
        <f>IF((Quote!Q57/IF(IndexCurrency=3,TauxUS,IF(IndexCurrency=2,TauxEuro,1)))&gt;2000,IF(IndexCurrency=3,"Scanner Formulaire",""),"")</f>
        <v>#REF!</v>
      </c>
      <c r="J6" s="888"/>
      <c r="K6" s="889"/>
      <c r="L6" s="280" t="s">
        <v>145</v>
      </c>
      <c r="M6" s="216"/>
      <c r="N6" s="215"/>
      <c r="O6" s="215"/>
      <c r="P6" s="215"/>
      <c r="Q6" s="215"/>
    </row>
    <row r="7" spans="1:17" ht="16.25" hidden="1" customHeight="1" thickBot="1" x14ac:dyDescent="0.25">
      <c r="A7" s="216"/>
      <c r="B7" s="215"/>
      <c r="C7" s="440" t="s">
        <v>309</v>
      </c>
      <c r="D7" s="893" t="str">
        <f>IF(ISBLANK(Quote!P12),"",Quote!P12)</f>
        <v>Fedex</v>
      </c>
      <c r="E7" s="894"/>
      <c r="F7" s="895"/>
      <c r="G7" s="281" t="s">
        <v>144</v>
      </c>
      <c r="H7" s="283" t="str">
        <f>IF(ISBLANK(Quote!P13),"",Quote!P13)</f>
        <v>DAP</v>
      </c>
      <c r="I7" s="282" t="s">
        <v>154</v>
      </c>
      <c r="J7" s="893" t="str">
        <f>IF(ISBLANK(Inv!Q1),"",Inv!Q1)</f>
        <v/>
      </c>
      <c r="K7" s="895"/>
      <c r="L7" s="410" t="s">
        <v>146</v>
      </c>
      <c r="M7" s="283"/>
      <c r="N7" s="215"/>
      <c r="O7" s="215"/>
      <c r="P7" s="215"/>
      <c r="Q7" s="215"/>
    </row>
    <row r="8" spans="1:17" ht="16.25" customHeight="1" x14ac:dyDescent="0.25">
      <c r="A8" s="216"/>
      <c r="B8" s="215"/>
      <c r="C8" s="216"/>
      <c r="D8" s="216"/>
      <c r="E8" s="216"/>
      <c r="F8" s="216"/>
      <c r="G8" s="228"/>
      <c r="H8" s="37"/>
      <c r="I8" s="216"/>
      <c r="J8" s="216"/>
      <c r="K8" s="37"/>
      <c r="L8" s="216"/>
      <c r="M8" s="216"/>
      <c r="N8" s="215"/>
      <c r="O8" s="215"/>
      <c r="P8" s="215"/>
      <c r="Q8" s="215"/>
    </row>
    <row r="9" spans="1:17" ht="16.25" customHeight="1" x14ac:dyDescent="0.2">
      <c r="A9" s="415"/>
      <c r="B9" s="290"/>
      <c r="C9" s="905" t="str">
        <f>IF((DENDRO_N_UpgradeUpdate + DENDRO_N_Software ) = 2,"",LEFT(INDEX(DENDRO_SoftwareFullNames,DENDRO_IndexSoftware),FIND(" ",INDEX(DENDRO_SoftwareFullNames,DENDRO_IndexSoftware),FIND(" ",INDEX(DENDRO_SoftwareFullNames,DENDRO_IndexSoftware))+1)) &amp;
DENDRO_YearMostRecent )</f>
        <v/>
      </c>
      <c r="D9" s="905"/>
      <c r="E9" s="374"/>
      <c r="F9" s="374"/>
      <c r="G9" s="269" t="str">
        <f>IF(DENDRO_OptionXL*(DENDRO_N_Software+DENDRO_N_UpgradeUpdate-2)&gt;=((ROW(G9)-ROW($G$9))/4+1),"XLSTEM "&amp; DENDRO_YearMostRecent,"")</f>
        <v/>
      </c>
      <c r="H9" s="226"/>
      <c r="I9" s="226"/>
      <c r="J9" s="269" t="str">
        <f>IF(DENDRO_N_System-1&gt;=((ROW(G9)-ROW($G$9))/4+1),IF(DENDRO_IndexScanner=1,"STD4800","LA2400") &amp; " System"&amp; IF(AND(DENDRO_ClientWithOrWithoutScanner=2,DENDRO_N_System&gt;1)," Sans Scanner"," Avec Scanner"),
IF(AND(DENDRO_N_Software&gt;DENDRO_N_System,DENDRO_N_Software-1&gt;=((ROW(G9)-ROW($G$9))/4+1)),IF(N_SystemTotal=0,"Software Only",IF(N_STDScanners+N_LAScanners+N_LCScanners=0,"Software Sans Scanner","Software Avec Scanner")),
IF(DENDRO_N_UpgradeUpdate-1&gt;=((ROW(G9)-ROW($G$9))/4+1)-(MAX(DENDRO_N_System,DENDRO_N_Software)-1),"Update","")))</f>
        <v/>
      </c>
      <c r="K9" s="226"/>
      <c r="L9" s="219"/>
      <c r="M9" s="219"/>
      <c r="N9" s="219"/>
      <c r="O9" s="377"/>
      <c r="P9" s="215"/>
      <c r="Q9" s="215"/>
    </row>
    <row r="10" spans="1:17" s="3" customFormat="1" ht="24" customHeight="1" x14ac:dyDescent="0.2">
      <c r="A10" s="427" t="s">
        <v>258</v>
      </c>
      <c r="B10" s="287" t="s">
        <v>258</v>
      </c>
      <c r="C10" s="378" t="str">
        <f>IF(AND(QUOTE_Split_SoftwareHardware,QUOTE_InternetDownload),"",
"☐☐ Win" &amp;
IF(INT((ROW(D10)-10)/30)+1=1,"DEN","")&amp;
IF(INT((ROW(D10)-10)/30)+1=2,"CEL","")&amp;
IF(INT((ROW(D10)-10)/30)+1=3,"RHI","")&amp;
IF(INT((ROW(D10)-10)/30)+1=4,"RT","")&amp;
IF(INT((ROW(D10)-10)/30)+1=5,"FOL","")&amp;
IF(INT((ROW(D10)-10)/30)+1=6,"SEE","")&amp;
IF(INT((ROW(D10)-10)/30)+1=7,"CAM","")&amp;
IF(INT((ROW(D10)-10)/30)+1=8,"SCA","") &amp; ".exe")</f>
        <v>☐☐ WinDEN.exe</v>
      </c>
      <c r="D10" s="378" t="str">
        <f>IF(AND(QUOTE_Split_SoftwareHardware,QUOTE_InternetDownload),"",
 IF(N("If it is Cam, Do not Show XL")+AND(ROW(D10)&gt;=189,ROW(D10)&lt;=218),"","☐ XL" &amp;
IF(INT((ROW(D10)-10)/30)+1=1,"STEM","")&amp;
IF(INT((ROW(D10)-10)/30)+1=2,"Cell","")&amp;
IF(INT((ROW(D10)-10)/30)+1=3,"Rhizo","")&amp;
IF(INT((ROW(D10)-10)/30)+1=4,"RhizoT","")&amp;
IF(INT((ROW(D10)-10)/30)+1=5,"Folia","")&amp;
IF(INT((ROW(D10)-10)/30)+1=6,"Seedle","")&amp;
IF(INT((ROW(D10)-10)/30)+1=7,"Cam","")&amp;
IF(INT((ROW(D10)-10)/30)+1=8,"Scanopy","") &amp; ".xls"))</f>
        <v>☐ XLSTEM.xls</v>
      </c>
      <c r="E10" s="378" t="s">
        <v>299</v>
      </c>
      <c r="F10" s="378" t="s">
        <v>152</v>
      </c>
      <c r="G10" s="378" t="str">
        <f xml:space="preserve"> IF(N("If it is Cam, Do not Show XL")+AND(ROW(G10)&gt;=189,ROW(G10)&lt;=218),"","☐ XL Man")</f>
        <v>☐ XL Man</v>
      </c>
      <c r="H10" s="379" t="s">
        <v>280</v>
      </c>
      <c r="I10" s="307" t="s">
        <v>274</v>
      </c>
      <c r="J10" s="379" t="str">
        <f>IF(N("Si OR dessous = vrai, pas de box")+OR(
N("1 OR Tron ou CELL")+OR(AND(ROW(E10)&gt;=39,ROW(E10)&lt;=68),AND(ROW(E10)&gt;=99,ROW(E10)&lt;=128)),
N("2 Pas de système scanopy and range opy")+AND(ROW(E10)&gt;=219,ROW(E10)&lt;=248,SCANOPY_N_System&lt;2),
N("3 Avec LC") + IF(AND(IF(PROD_MostPopularScanner="LC",1,0), NOT(AND(ROW(E10)&gt;=129,ROW(E10)&lt;=158)), NOT(AND(ROW(E10)&gt;=189,ROW(E10)&lt;=218))),1,0)
),"","☐ ")
&amp;
IF(N("If it's OPY, put OMount Manual instead")+
AND(ROW(D10)&gt;=219,ROW(D10)&lt;=248),
IF(SCANOPY_N_System&gt;1,
IF(SCANOPY_IndexScanner=1,"α" &amp; SCANOPY_CameraModel,SCANOPY_CameraModel_Mini) &amp; " Man",""),
IF(N("Empty si OR = true . . .If it is Cell or Tron, Do not Show Scanner related items + Hide if LC is favorite on unavailable product")+OR(
AND(ROW(E10)&gt;=39,ROW(E10)&lt;=68),
AND(ROW(E10)&gt;=99,ROW(E10)&lt;=128),
AND(IF(PROD_MostPopularScanner="LC",1,0), NOT(AND(ROW(E10)&gt;=129,ROW(E10)&lt;=158)), NOT(AND(ROW(E10)&gt;=189,ROW(E10)&lt;=218))),
0=1),
    "", IF(1=N("Si système a un scanner différent du Scanner populaire alors différent, sinon Scanner populaire")+AND(NOT(ISERROR(SEARCH("System",J9))),LEFT(J9,2)&lt;&gt;LEFT(PROD_MostPopularScanner,2)),
LEFT(J9,SEARCH("00",J9)-3),
PROD_MostPopularScanner) &amp; " Install Man"))</f>
        <v>☐ Scan. Install Man</v>
      </c>
      <c r="K10" s="378" t="str">
        <f>IF(N("If it is Cell or Tron or OPY, Do not Show Twain")+OR(AND(ROW(K10)&gt;=39,ROW(K10)&lt;=68),AND(ROW(K10)&gt;=99,ROW(K10)&lt;=128),AND(ROW(J10)&gt;=219,ROW(J10)&lt;=248)),"","☐ TWAIN")</f>
        <v>☐ TWAIN</v>
      </c>
      <c r="L10" s="379" t="str">
        <f>IF(AND(IF(PROD_MostPopularScanner="LC",1,0), NOT(AND(ROW(E10)&gt;=129,ROW(E10)&lt;=158)), NOT(AND(ROW(E10)&gt;=189,ROW(E10)&lt;=218))),"",
IF(N("Si OR dessous = vrai, pas de box")+OR(
N("1 OR Dendro+CELL, Tron+Folia,Cam")+OR(
AND(ROW(K10)&gt;=9,ROW(K10)&lt;=68),
AND(ROW(K10)&gt;=99,ROW(K10)&lt;=158),
AND(ROW(K10)&gt;=189,ROW(K10)&lt;=218)),
N("2 Pas de système scanopy and range opy")+AND(ROW(K10)&gt;=219,ROW(K10)&lt;=248,SCANOPY_N_System&lt;2),
N("3 Avec LC")&amp;IF(ISERROR(LEFT(J9,SEARCH("00",J9)-3)),"",LEFT(J9,SEARCH("00",J9)-3))="LC"),"","☐ ")
&amp;
IF(N("If it's OPY, put OMount Manual instead")+
AND(ROW(J10)&gt;=219,ROW(J10)&lt;=248),
IF(SCANOPY_N_System&gt;1,"OMount Man",""),
IF(N("If it is Dendro+CELL, Tron+Folia or Cam, Do not Show Scanner related items+No Video if LC")+OR(
AND(ROW(K10)&gt;=9,ROW(K10)&lt;=68),
AND(ROW(K10)&gt;=99,ROW(K10)&lt;=158),
AND(ROW(K10)&gt;=189,ROW(K10)&lt;=218),
IF(ISERROR(LEFT(J9,SEARCH("00",J9)-3)),"",LEFT(J9,SEARCH("00",J9)-3))="LC"),
    "", "Video " &amp; IF(1=N("Si système a un scanner différent du Scanner populaire alors différent, sinon Scanner populaire")+AND(NOT(ISERROR(SEARCH("System",J9))),LEFT(J9,2)&lt;&gt;LEFT(PROD_MostPopularScanner,2)),
LEFT(J9,SEARCH("00",J9)-3),
PROD_MostPopularScanner) &amp; " Install"))
)</f>
        <v/>
      </c>
      <c r="M10" s="378" t="str">
        <f>IF(N("If it is Dendro or Tron, Do not Show Color Analysis Video")+
OR(AND(ROW(L10)&gt;=9,ROW(L10)&lt;=38),
AND(ROW(L10)&gt;=99,ROW(L10)&lt;=128)), "","☐ Video ClrAna")</f>
        <v/>
      </c>
      <c r="N10" s="379" t="str">
        <f>IF(OR(INT((ROW(D10)-10)/30)+1=2,INT((ROW(D10)-10)/30)+1=4),"","☐ ")&amp;
IF(INT((ROW(D10)-10)/30)+1=1,"Scanner.cal","")&amp;
IF(INT((ROW(D10)-10)/30)+1=2,"","")&amp;
IF(INT((ROW(D10)-10)/30)+1=3,"Scanner.cal","")&amp;
IF(INT((ROW(D10)-10)/30)+1=4,"","")&amp;
IF(INT((ROW(D10)-10)/30)+1=5,"Scanner.cal","")&amp;
IF(INT((ROW(D10)-10)/30)+1=6,"Scanner.cal","")&amp;
IF(INT((ROW(D10)-10)/30)+1=7,"Scanner.cal","")&amp;
IF(INT((ROW(D10)-10)/30)+1=8,"Indiv" &amp; " Lens.cal","")</f>
        <v>☐ Scanner.cal</v>
      </c>
      <c r="O10" s="307" t="str">
        <f>IF(AND(ROW(L10)&gt;=9,ROW(L10)&lt;=38),"☐ RegentTarget.blu","")</f>
        <v>☐ RegentTarget.blu</v>
      </c>
      <c r="P10" s="215"/>
      <c r="Q10" s="215"/>
    </row>
    <row r="11" spans="1:17" s="3" customFormat="1" ht="24" customHeight="1" x14ac:dyDescent="0.2">
      <c r="A11" s="427" t="s">
        <v>259</v>
      </c>
      <c r="B11" s="224" t="s">
        <v>259</v>
      </c>
      <c r="C11" s="307" t="s">
        <v>152</v>
      </c>
      <c r="D11" s="307" t="str">
        <f xml:space="preserve"> IF(N("If it is Cam, Do not Show XL")+AND(ROW(D11)&gt;=189,ROW(D11)&lt;=218),"","☐ XL Man")</f>
        <v>☐ XL Man</v>
      </c>
      <c r="E11" s="437" t="str">
        <f>IF(N("Si OR dessous = vrai, pas de box")+OR(
N("1 OR Tron ou CELL")+OR(AND(ROW(K10)&gt;=39,ROW(K10)&lt;=68),AND(ROW(K10)&gt;=99,ROW(K10)&lt;=128)),
N("2 Pas de système scanopy and range opy")+AND(ROW(K10)&gt;=219,ROW(K10)&lt;=248,SCANOPY_N_System&lt;2),
N("3 Avec LC")&amp;IF(ISERROR(LEFT(J9,SEARCH("00",J9)-3)),"",LEFT(J9,SEARCH("00",J9)-3))="LC"),"","☐ ")
&amp;
IF(N("If it's OPY, put OMount Manual instead")+
AND(ROW(J10)&gt;=219,ROW(J10)&lt;=248),
IF(SCANOPY_N_System&gt;1,"OMount Man",""),
IF(N("If it is Cell or Tron, Do not Show Scanner related items")+OR(
AND(ROW(K10)&gt;=39,ROW(K10)&lt;=68),
AND(ROW(K10)&gt;=99,ROW(K10)&lt;=128)),
    "", IF(1=N("Si système a un scanner différent du Scanner populaire alors différent, sinon Scanner populaire")+AND(NOT(ISERROR(SEARCH("System",J9))),LEFT(J9,2)&lt;&gt;LEFT(PROD_MostPopularScanner,2)),
LEFT(J9,SEARCH("00",J9)-3),
PROD_MostPopularScanner) &amp; " Install Man"))</f>
        <v>☐ Scan. Install Man</v>
      </c>
      <c r="F11" s="307" t="s">
        <v>275</v>
      </c>
      <c r="G11" s="307" t="s">
        <v>274</v>
      </c>
      <c r="H11" s="439" t="s">
        <v>250</v>
      </c>
      <c r="I11" s="381"/>
      <c r="J11" s="307" t="str">
        <f ca="1">IF(AND(
INDIRECT(
IF(INT((ROW(D11)-10)/30)+1=1,"DENDRO","")&amp;
IF(INT((ROW(D11)-10)/30)+1=2,"CELL","")&amp;
IF(INT((ROW(D11)-10)/30)+1=3,"RHIZO","")&amp;
IF(INT((ROW(D11)-10)/30)+1=4,"RHIZOTRON","")&amp;
IF(INT((ROW(D11)-10)/30)+1=5,"FOLIA","")&amp;
IF(INT((ROW(D11)-10)/30)+1=6,"SEEDLE","")&amp;
IF(INT((ROW(D11)-10)/30)+1=7,"CAM","")&amp;
IF(INT((ROW(D11)-10)/30)+1=8,"SCANOPY","") &amp; "_ChkB_RemoteUpdate"),
INDIRECT(
IF(INT((ROW(D11)-10)/30)+1=1,"DENDRO","")&amp;
IF(INT((ROW(D11)-10)/30)+1=2,"CELL","")&amp;
IF(INT((ROW(D11)-10)/30)+1=3,"RHIZO","")&amp;
IF(INT((ROW(D11)-10)/30)+1=4,"RHIZOTRON","")&amp;
IF(INT((ROW(D11)-10)/30)+1=5,"FOLIA","")&amp;
IF(INT((ROW(D11)-10)/30)+1=6,"SEEDLE","")&amp;
IF(INT((ROW(D11)-10)/30)+1=7,"CAM","")&amp;
IF(INT((ROW(D11)-10)/30)+1=8,"SCANOPY","") &amp; "_ChkBox_UpgradeUpdate")),
"Clé de bois ou Download. Reprogrammation clé client",
"☐ " &amp; IF(AND(QUOTE_Split_SoftwareHardware,QUOTE_InternetDownload),"Man ds env. ""Documents"", Clé ds bulle collée sur env.","Reliée au Man"))</f>
        <v>☐ Reliée au Man</v>
      </c>
      <c r="K11" s="265"/>
      <c r="L11" s="223"/>
      <c r="M11" s="439"/>
      <c r="N11" s="307"/>
      <c r="O11" s="307"/>
      <c r="P11" s="215"/>
      <c r="Q11" s="215"/>
    </row>
    <row r="12" spans="1:17" ht="16.25" customHeight="1" x14ac:dyDescent="0.2">
      <c r="A12" s="415"/>
      <c r="B12" s="290"/>
      <c r="C12" s="905" t="str">
        <f>IF((DENDRO_N_UpgradeUpdate + DENDRO_N_Software ) = 2,"",LEFT(INDEX(DENDRO_SoftwareFullNames,DENDRO_IndexSoftware),FIND(" ",INDEX(DENDRO_SoftwareFullNames,DENDRO_IndexSoftware),FIND(" ",INDEX(DENDRO_SoftwareFullNames,DENDRO_IndexSoftware))+1)) &amp;
DENDRO_YearMostRecent )</f>
        <v/>
      </c>
      <c r="D12" s="905"/>
      <c r="E12" s="374"/>
      <c r="F12" s="290"/>
      <c r="G12" s="269" t="str">
        <f>IF(DENDRO_OptionXL*(DENDRO_N_Software+DENDRO_N_UpgradeUpdate-2)&gt;=((ROW(G12)-ROW($G$9))/4+1),"XLSTEM "&amp; DENDRO_YearMostRecent,"")</f>
        <v/>
      </c>
      <c r="H12" s="219"/>
      <c r="I12" s="219"/>
      <c r="J12" s="269" t="str">
        <f>IF(DENDRO_N_System-1&gt;=((ROW(G12)-ROW($G$9))/4+1),IF(DENDRO_IndexScanner=1,"STD4800","LA2400") &amp; " System"&amp; IF(AND(DENDRO_ClientWithOrWithoutScanner=2,DENDRO_N_System&gt;1)," Sans Scanner"," Avec Scanner"),
IF(AND(DENDRO_N_Software&gt;DENDRO_N_System,DENDRO_N_Software-1&gt;=((ROW(G12)-ROW($G$9))/4+1)),IF(N_SystemTotal=0,"Software Only",IF(N_STDScanners+N_LAScanners+N_LCScanners=0,"Software Sans Scanner","Software Avec Scanner")),
IF(DENDRO_N_UpgradeUpdate-1&gt;=((ROW(G12)-ROW($G$9))/4+1)-(MAX(DENDRO_N_System,DENDRO_N_Software)-1),"Update","")))</f>
        <v/>
      </c>
      <c r="K12" s="226"/>
      <c r="L12" s="219"/>
      <c r="M12" s="220"/>
      <c r="N12" s="219"/>
      <c r="O12" s="377"/>
      <c r="P12" s="215"/>
      <c r="Q12" s="215"/>
    </row>
    <row r="13" spans="1:17" ht="24" customHeight="1" x14ac:dyDescent="0.2">
      <c r="A13" s="427" t="s">
        <v>258</v>
      </c>
      <c r="B13" s="287" t="s">
        <v>258</v>
      </c>
      <c r="C13" s="378" t="str">
        <f>IF(AND(QUOTE_Split_SoftwareHardware,QUOTE_InternetDownload),"",
"☐☐ Win" &amp;
IF(INT((ROW(D13)-10)/30)+1=1,"DEN","")&amp;
IF(INT((ROW(D13)-10)/30)+1=2,"CEL","")&amp;
IF(INT((ROW(D13)-10)/30)+1=3,"RHI","")&amp;
IF(INT((ROW(D13)-10)/30)+1=4,"RT","")&amp;
IF(INT((ROW(D13)-10)/30)+1=5,"FOL","")&amp;
IF(INT((ROW(D13)-10)/30)+1=6,"SEE","")&amp;
IF(INT((ROW(D13)-10)/30)+1=7,"CAM","")&amp;
IF(INT((ROW(D13)-10)/30)+1=8,"SCA","") &amp; ".exe")</f>
        <v>☐☐ WinDEN.exe</v>
      </c>
      <c r="D13" s="378" t="str">
        <f>IF(AND(QUOTE_Split_SoftwareHardware,QUOTE_InternetDownload),"",
 IF(N("If it is Cam, Do not Show XL")+AND(ROW(D13)&gt;=189,ROW(D13)&lt;=218),"","☐ XL" &amp;
IF(INT((ROW(D13)-10)/30)+1=1,"STEM","")&amp;
IF(INT((ROW(D13)-10)/30)+1=2,"Cell","")&amp;
IF(INT((ROW(D13)-10)/30)+1=3,"Rhizo","")&amp;
IF(INT((ROW(D13)-10)/30)+1=4,"RhizoT","")&amp;
IF(INT((ROW(D13)-10)/30)+1=5,"Folia","")&amp;
IF(INT((ROW(D13)-10)/30)+1=6,"Seedle","")&amp;
IF(INT((ROW(D13)-10)/30)+1=7,"Cam","")&amp;
IF(INT((ROW(D13)-10)/30)+1=8,"Scanopy","") &amp; ".xls"))</f>
        <v>☐ XLSTEM.xls</v>
      </c>
      <c r="E13" s="378" t="s">
        <v>299</v>
      </c>
      <c r="F13" s="379" t="s">
        <v>152</v>
      </c>
      <c r="G13" s="378" t="str">
        <f xml:space="preserve"> IF(N("If it is Cam, Do not Show XL")+AND(ROW(G13)&gt;=189,ROW(G13)&lt;=218),"","☐ XL Man")</f>
        <v>☐ XL Man</v>
      </c>
      <c r="H13" s="379" t="s">
        <v>280</v>
      </c>
      <c r="I13" s="307" t="s">
        <v>274</v>
      </c>
      <c r="J13" s="379" t="str">
        <f>IF(N("Si OR dessous = vrai, pas de box")+OR(
N("1 OR Tron ou CELL")+OR(AND(ROW(E13)&gt;=39,ROW(E13)&lt;=68),AND(ROW(E13)&gt;=99,ROW(E13)&lt;=128)),
N("2 Pas de système scanopy and range opy")+AND(ROW(E13)&gt;=219,ROW(E13)&lt;=248,SCANOPY_N_System&lt;2),
N("3 Avec LC") + IF(AND(IF(PROD_MostPopularScanner="LC",1,0), NOT(AND(ROW(E13)&gt;=129,ROW(E13)&lt;=158)), NOT(AND(ROW(E13)&gt;=189,ROW(E13)&lt;=218))),1,0)
),"","☐ ")
&amp;
IF(N("If it's OPY, put OMount Manual instead")+
AND(ROW(D13)&gt;=219,ROW(D13)&lt;=248),
IF(SCANOPY_N_System&gt;1,
IF(SCANOPY_IndexScanner=1,"α" &amp; SCANOPY_CameraModel,SCANOPY_CameraModel_Mini) &amp; " Man",""),
IF(N("Empty si OR = true . . .If it is Cell or Tron, Do not Show Scanner related items + Hide if LC is favorite on unavailable product")+OR(
AND(ROW(E13)&gt;=39,ROW(E13)&lt;=68),
AND(ROW(E13)&gt;=99,ROW(E13)&lt;=128),
AND(IF(PROD_MostPopularScanner="LC",1,0), NOT(AND(ROW(E13)&gt;=129,ROW(E13)&lt;=158)), NOT(AND(ROW(E13)&gt;=189,ROW(E13)&lt;=218))),
0=1),
    "", IF(1=N("Si système a un scanner différent du Scanner populaire alors différent, sinon Scanner populaire")+AND(NOT(ISERROR(SEARCH("System",J12))),LEFT(J12,2)&lt;&gt;LEFT(PROD_MostPopularScanner,2)),
LEFT(J12,SEARCH("00",J12)-3),
PROD_MostPopularScanner) &amp; " Install Man"))</f>
        <v>☐ Scan. Install Man</v>
      </c>
      <c r="K13" s="378" t="str">
        <f>IF(N("If it is Cell or Tron or OPY, Do not Show Twain")+OR(AND(ROW(K13)&gt;=39,ROW(K13)&lt;=68),AND(ROW(K13)&gt;=99,ROW(K13)&lt;=128),AND(ROW(J13)&gt;=219,ROW(J13)&lt;=248)),"","☐ TWAIN")</f>
        <v>☐ TWAIN</v>
      </c>
      <c r="L13" s="379" t="str">
        <f>IF(AND(IF(PROD_MostPopularScanner="LC",1,0), NOT(AND(ROW(E13)&gt;=129,ROW(E13)&lt;=158)), NOT(AND(ROW(E13)&gt;=189,ROW(E13)&lt;=218))),"",
IF(N("Si OR dessous = vrai, pas de box")+OR(
N("1 OR Dendro+CELL, Tron+Folia,Cam")+OR(
AND(ROW(K13)&gt;=9,ROW(K13)&lt;=68),
AND(ROW(K13)&gt;=99,ROW(K13)&lt;=158),
AND(ROW(K13)&gt;=189,ROW(K13)&lt;=218)),
N("2 Pas de système scanopy and range opy")+AND(ROW(K13)&gt;=219,ROW(K13)&lt;=248,SCANOPY_N_System&lt;2),
N("3 Avec LC")&amp;IF(ISERROR(LEFT(J12,SEARCH("00",J12)-3)),"",LEFT(J12,SEARCH("00",J12)-3))="LC"),"","☐ ")
&amp;
IF(N("If it's OPY, put OMount Manual instead")+
AND(ROW(J13)&gt;=219,ROW(J13)&lt;=248),
IF(SCANOPY_N_System&gt;1,"OMount Man",""),
IF(N("If it is Dendro+CELL, Tron+Folia or Cam, Do not Show Scanner related items+No Video if LC")+OR(
AND(ROW(K13)&gt;=9,ROW(K13)&lt;=68),
AND(ROW(K13)&gt;=99,ROW(K13)&lt;=158),
AND(ROW(K13)&gt;=189,ROW(K13)&lt;=218),
IF(ISERROR(LEFT(J12,SEARCH("00",J12)-3)),"",LEFT(J12,SEARCH("00",J12)-3))="LC"),
    "", "Video " &amp; IF(1=N("Si système a un scanner différent du Scanner populaire alors différent, sinon Scanner populaire")+AND(NOT(ISERROR(SEARCH("System",J12))),LEFT(J12,2)&lt;&gt;LEFT(PROD_MostPopularScanner,2)),
LEFT(J12,SEARCH("00",J12)-3),
PROD_MostPopularScanner) &amp; " Install"))
)</f>
        <v/>
      </c>
      <c r="M13" s="378" t="str">
        <f>IF(N("If it is Dendro or Tron, Do not Show Color Analysis Video")+
OR(AND(ROW(L13)&gt;=9,ROW(L13)&lt;=38),
AND(ROW(L13)&gt;=99,ROW(L13)&lt;=128)), "","☐ Video ClrAna")</f>
        <v/>
      </c>
      <c r="N13" s="379" t="str">
        <f>IF(OR(INT((ROW(D13)-10)/30)+1=2,INT((ROW(D13)-10)/30)+1=4),"","☐ ")&amp;
IF(INT((ROW(D13)-10)/30)+1=1,"Scanner.cal","")&amp;
IF(INT((ROW(D13)-10)/30)+1=2,"","")&amp;
IF(INT((ROW(D13)-10)/30)+1=3,"Scanner.cal","")&amp;
IF(INT((ROW(D13)-10)/30)+1=4,"","")&amp;
IF(INT((ROW(D13)-10)/30)+1=5,"Scanner.cal","")&amp;
IF(INT((ROW(D13)-10)/30)+1=6,"Scanner.cal","")&amp;
IF(INT((ROW(D13)-10)/30)+1=7,"Scanner.cal","")&amp;
IF(INT((ROW(D13)-10)/30)+1=8,"Indiv" &amp; " Lens.cal","")</f>
        <v>☐ Scanner.cal</v>
      </c>
      <c r="O13" s="307" t="str">
        <f>IF(AND(ROW(L13)&gt;=9,ROW(L13)&lt;=38),"☐ RegentTarget.blu","")</f>
        <v>☐ RegentTarget.blu</v>
      </c>
      <c r="P13" s="215"/>
      <c r="Q13" s="215"/>
    </row>
    <row r="14" spans="1:17" ht="24" customHeight="1" x14ac:dyDescent="0.2">
      <c r="A14" s="427" t="s">
        <v>259</v>
      </c>
      <c r="B14" s="224" t="s">
        <v>259</v>
      </c>
      <c r="C14" s="307" t="s">
        <v>152</v>
      </c>
      <c r="D14" s="307" t="str">
        <f xml:space="preserve"> IF(N("If it is Cam, Do not Show XL")+AND(ROW(D14)&gt;=189,ROW(D14)&lt;=218),"","☐ XL Man")</f>
        <v>☐ XL Man</v>
      </c>
      <c r="E14" s="437" t="str">
        <f>IF(N("Si OR dessous = vrai, pas de box")+OR(
N("1 OR Tron ou CELL")+OR(AND(ROW(K13)&gt;=39,ROW(K13)&lt;=68),AND(ROW(K13)&gt;=99,ROW(K13)&lt;=128)),
N("2 Pas de système scanopy and range opy")+AND(ROW(K13)&gt;=219,ROW(K13)&lt;=248,SCANOPY_N_System&lt;2),
N("3 Avec LC")&amp;IF(ISERROR(LEFT(J12,SEARCH("00",J12)-3)),"",LEFT(J12,SEARCH("00",J12)-3))="LC"),"","☐ ")
&amp;
IF(N("If it's OPY, put OMount Manual instead")+
AND(ROW(J13)&gt;=219,ROW(J13)&lt;=248),
IF(SCANOPY_N_System&gt;1,"OMount Man",""),
IF(N("If it is Cell or Tron, Do not Show Scanner related items")+OR(
AND(ROW(K13)&gt;=39,ROW(K13)&lt;=68),
AND(ROW(K13)&gt;=99,ROW(K13)&lt;=128)),
    "", IF(1=N("Si système a un scanner différent du Scanner populaire alors différent, sinon Scanner populaire")+AND(NOT(ISERROR(SEARCH("System",J12))),LEFT(J12,2)&lt;&gt;LEFT(PROD_MostPopularScanner,2)),
LEFT(J12,SEARCH("00",J12)-3),
PROD_MostPopularScanner) &amp; " Install Man"))</f>
        <v>☐ Scan. Install Man</v>
      </c>
      <c r="F14" s="380" t="s">
        <v>275</v>
      </c>
      <c r="G14" s="307" t="s">
        <v>274</v>
      </c>
      <c r="H14" s="439" t="s">
        <v>250</v>
      </c>
      <c r="I14" s="381"/>
      <c r="J14" s="307" t="str">
        <f ca="1">IF(AND(
INDIRECT(
IF(INT((ROW(D14)-10)/30)+1=1,"DENDRO","")&amp;
IF(INT((ROW(D14)-10)/30)+1=2,"CELL","")&amp;
IF(INT((ROW(D14)-10)/30)+1=3,"RHIZO","")&amp;
IF(INT((ROW(D14)-10)/30)+1=4,"RHIZOTRON","")&amp;
IF(INT((ROW(D14)-10)/30)+1=5,"FOLIA","")&amp;
IF(INT((ROW(D14)-10)/30)+1=6,"SEEDLE","")&amp;
IF(INT((ROW(D14)-10)/30)+1=7,"CAM","")&amp;
IF(INT((ROW(D14)-10)/30)+1=8,"SCANOPY","") &amp; "_ChkB_RemoteUpdate"),
INDIRECT(
IF(INT((ROW(D14)-10)/30)+1=1,"DENDRO","")&amp;
IF(INT((ROW(D14)-10)/30)+1=2,"CELL","")&amp;
IF(INT((ROW(D14)-10)/30)+1=3,"RHIZO","")&amp;
IF(INT((ROW(D14)-10)/30)+1=4,"RHIZOTRON","")&amp;
IF(INT((ROW(D14)-10)/30)+1=5,"FOLIA","")&amp;
IF(INT((ROW(D14)-10)/30)+1=6,"SEEDLE","")&amp;
IF(INT((ROW(D14)-10)/30)+1=7,"CAM","")&amp;
IF(INT((ROW(D14)-10)/30)+1=8,"SCANOPY","") &amp; "_ChkBox_UpgradeUpdate")),
"Clé de bois ou Download. Reprogrammation clé client",
"☐ " &amp; IF(AND(QUOTE_Split_SoftwareHardware,QUOTE_InternetDownload),"Man ds env. ""Documents"", Clé ds bulle collée sur env.","Reliée au Man"))</f>
        <v>☐ Reliée au Man</v>
      </c>
      <c r="K14" s="265"/>
      <c r="L14" s="223"/>
      <c r="M14" s="439"/>
      <c r="N14" s="380"/>
      <c r="O14" s="307"/>
      <c r="P14" s="215"/>
      <c r="Q14" s="215"/>
    </row>
    <row r="15" spans="1:17" ht="16.25" customHeight="1" x14ac:dyDescent="0.2">
      <c r="A15" s="415"/>
      <c r="B15" s="290"/>
      <c r="C15" s="905" t="str">
        <f>IF((DENDRO_N_UpgradeUpdate + DENDRO_N_Software ) = 2,"",LEFT(INDEX(DENDRO_SoftwareFullNames,DENDRO_IndexSoftware),FIND(" ",INDEX(DENDRO_SoftwareFullNames,DENDRO_IndexSoftware),FIND(" ",INDEX(DENDRO_SoftwareFullNames,DENDRO_IndexSoftware))+1)) &amp;
DENDRO_YearMostRecent )</f>
        <v/>
      </c>
      <c r="D15" s="905"/>
      <c r="E15" s="374"/>
      <c r="F15" s="298"/>
      <c r="G15" s="269" t="str">
        <f>IF(DENDRO_OptionXL*(DENDRO_N_Software+DENDRO_N_UpgradeUpdate-2)&gt;=((ROW(G15)-ROW($G$9))/4+1),"XLSTEM "&amp; DENDRO_YearMostRecent,"")</f>
        <v/>
      </c>
      <c r="H15" s="226"/>
      <c r="I15" s="226"/>
      <c r="J15" s="269" t="str">
        <f>IF(DENDRO_N_System-1&gt;=((ROW(G15)-ROW($G$9))/4+1),IF(DENDRO_IndexScanner=1,"STD4800","LA2400") &amp; " System"&amp; IF(AND(DENDRO_ClientWithOrWithoutScanner=2,DENDRO_N_System&gt;1)," Sans Scanner"," Avec Scanner"),
IF(AND(DENDRO_N_Software&gt;DENDRO_N_System,DENDRO_N_Software-1&gt;=((ROW(G15)-ROW($G$9))/4+1)),IF(N_SystemTotal=0,"Software Only",IF(N_STDScanners+N_LAScanners+N_LCScanners=0,"Software Sans Scanner","Software Avec Scanner")),
IF(DENDRO_N_UpgradeUpdate-1&gt;=((ROW(G15)-ROW($G$9))/4+1)-(MAX(DENDRO_N_System,DENDRO_N_Software)-1),"Update","")))</f>
        <v/>
      </c>
      <c r="K15" s="226"/>
      <c r="L15" s="219"/>
      <c r="M15" s="220"/>
      <c r="N15" s="219"/>
      <c r="O15" s="377"/>
      <c r="P15" s="215"/>
      <c r="Q15" s="215"/>
    </row>
    <row r="16" spans="1:17" ht="24" customHeight="1" x14ac:dyDescent="0.2">
      <c r="A16" s="427" t="s">
        <v>258</v>
      </c>
      <c r="B16" s="287" t="s">
        <v>258</v>
      </c>
      <c r="C16" s="378" t="str">
        <f>IF(AND(QUOTE_Split_SoftwareHardware,QUOTE_InternetDownload),"",
"☐☐ Win" &amp;
IF(INT((ROW(D16)-10)/30)+1=1,"DEN","")&amp;
IF(INT((ROW(D16)-10)/30)+1=2,"CEL","")&amp;
IF(INT((ROW(D16)-10)/30)+1=3,"RHI","")&amp;
IF(INT((ROW(D16)-10)/30)+1=4,"RT","")&amp;
IF(INT((ROW(D16)-10)/30)+1=5,"FOL","")&amp;
IF(INT((ROW(D16)-10)/30)+1=6,"SEE","")&amp;
IF(INT((ROW(D16)-10)/30)+1=7,"CAM","")&amp;
IF(INT((ROW(D16)-10)/30)+1=8,"SCA","") &amp; ".exe")</f>
        <v>☐☐ WinDEN.exe</v>
      </c>
      <c r="D16" s="378" t="str">
        <f>IF(AND(QUOTE_Split_SoftwareHardware,QUOTE_InternetDownload),"",
 IF(N("If it is Cam, Do not Show XL")+AND(ROW(D16)&gt;=189,ROW(D16)&lt;=218),"","☐ XL" &amp;
IF(INT((ROW(D16)-10)/30)+1=1,"STEM","")&amp;
IF(INT((ROW(D16)-10)/30)+1=2,"Cell","")&amp;
IF(INT((ROW(D16)-10)/30)+1=3,"Rhizo","")&amp;
IF(INT((ROW(D16)-10)/30)+1=4,"RhizoT","")&amp;
IF(INT((ROW(D16)-10)/30)+1=5,"Folia","")&amp;
IF(INT((ROW(D16)-10)/30)+1=6,"Seedle","")&amp;
IF(INT((ROW(D16)-10)/30)+1=7,"Cam","")&amp;
IF(INT((ROW(D16)-10)/30)+1=8,"Scanopy","") &amp; ".xls"))</f>
        <v>☐ XLSTEM.xls</v>
      </c>
      <c r="E16" s="378" t="s">
        <v>299</v>
      </c>
      <c r="F16" s="379" t="s">
        <v>152</v>
      </c>
      <c r="G16" s="378" t="str">
        <f xml:space="preserve"> IF(N("If it is Cam, Do not Show XL")+AND(ROW(G16)&gt;=189,ROW(G16)&lt;=218),"","☐ XL Man")</f>
        <v>☐ XL Man</v>
      </c>
      <c r="H16" s="379" t="s">
        <v>280</v>
      </c>
      <c r="I16" s="307" t="s">
        <v>274</v>
      </c>
      <c r="J16" s="379" t="str">
        <f>IF(N("Si OR dessous = vrai, pas de box")+OR(
N("1 OR Tron ou CELL")+OR(AND(ROW(E16)&gt;=39,ROW(E16)&lt;=68),AND(ROW(E16)&gt;=99,ROW(E16)&lt;=128)),
N("2 Pas de système scanopy and range opy")+AND(ROW(E16)&gt;=219,ROW(E16)&lt;=248,SCANOPY_N_System&lt;2),
N("3 Avec LC") + IF(AND(IF(PROD_MostPopularScanner="LC",1,0), NOT(AND(ROW(E16)&gt;=129,ROW(E16)&lt;=158)), NOT(AND(ROW(E16)&gt;=189,ROW(E16)&lt;=218))),1,0)
),"","☐ ")
&amp;
IF(N("If it's OPY, put OMount Manual instead")+
AND(ROW(D16)&gt;=219,ROW(D16)&lt;=248),
IF(SCANOPY_N_System&gt;1,
IF(SCANOPY_IndexScanner=1,"α" &amp; SCANOPY_CameraModel,SCANOPY_CameraModel_Mini) &amp; " Man",""),
IF(N("Empty si OR = true . . .If it is Cell or Tron, Do not Show Scanner related items + Hide if LC is favorite on unavailable product")+OR(
AND(ROW(E16)&gt;=39,ROW(E16)&lt;=68),
AND(ROW(E16)&gt;=99,ROW(E16)&lt;=128),
AND(IF(PROD_MostPopularScanner="LC",1,0), NOT(AND(ROW(E16)&gt;=129,ROW(E16)&lt;=158)), NOT(AND(ROW(E16)&gt;=189,ROW(E16)&lt;=218))),
0=1),
    "", IF(1=N("Si système a un scanner différent du Scanner populaire alors différent, sinon Scanner populaire")+AND(NOT(ISERROR(SEARCH("System",J15))),LEFT(J15,2)&lt;&gt;LEFT(PROD_MostPopularScanner,2)),
LEFT(J15,SEARCH("00",J15)-3),
PROD_MostPopularScanner) &amp; " Install Man"))</f>
        <v>☐ Scan. Install Man</v>
      </c>
      <c r="K16" s="378" t="str">
        <f>IF(N("If it is Cell or Tron or OPY, Do not Show Twain")+OR(AND(ROW(K16)&gt;=39,ROW(K16)&lt;=68),AND(ROW(K16)&gt;=99,ROW(K16)&lt;=128),AND(ROW(J16)&gt;=219,ROW(J16)&lt;=248)),"","☐ TWAIN")</f>
        <v>☐ TWAIN</v>
      </c>
      <c r="L16" s="379" t="str">
        <f>IF(AND(IF(PROD_MostPopularScanner="LC",1,0), NOT(AND(ROW(E16)&gt;=129,ROW(E16)&lt;=158)), NOT(AND(ROW(E16)&gt;=189,ROW(E16)&lt;=218))),"",
IF(N("Si OR dessous = vrai, pas de box")+OR(
N("1 OR Dendro+CELL, Tron+Folia,Cam")+OR(
AND(ROW(K16)&gt;=9,ROW(K16)&lt;=68),
AND(ROW(K16)&gt;=99,ROW(K16)&lt;=158),
AND(ROW(K16)&gt;=189,ROW(K16)&lt;=218)),
N("2 Pas de système scanopy and range opy")+AND(ROW(K16)&gt;=219,ROW(K16)&lt;=248,SCANOPY_N_System&lt;2),
N("3 Avec LC")&amp;IF(ISERROR(LEFT(J15,SEARCH("00",J15)-3)),"",LEFT(J15,SEARCH("00",J15)-3))="LC"),"","☐ ")
&amp;
IF(N("If it's OPY, put OMount Manual instead")+
AND(ROW(J16)&gt;=219,ROW(J16)&lt;=248),
IF(SCANOPY_N_System&gt;1,"OMount Man",""),
IF(N("If it is Dendro+CELL, Tron+Folia or Cam, Do not Show Scanner related items+No Video if LC")+OR(
AND(ROW(K16)&gt;=9,ROW(K16)&lt;=68),
AND(ROW(K16)&gt;=99,ROW(K16)&lt;=158),
AND(ROW(K16)&gt;=189,ROW(K16)&lt;=218),
IF(ISERROR(LEFT(J15,SEARCH("00",J15)-3)),"",LEFT(J15,SEARCH("00",J15)-3))="LC"),
    "", "Video " &amp; IF(1=N("Si système a un scanner différent du Scanner populaire alors différent, sinon Scanner populaire")+AND(NOT(ISERROR(SEARCH("System",J15))),LEFT(J15,2)&lt;&gt;LEFT(PROD_MostPopularScanner,2)),
LEFT(J15,SEARCH("00",J15)-3),
PROD_MostPopularScanner) &amp; " Install"))
)</f>
        <v/>
      </c>
      <c r="M16" s="378" t="str">
        <f>IF(N("If it is Dendro or Tron, Do not Show Color Analysis Video")+
OR(AND(ROW(L16)&gt;=9,ROW(L16)&lt;=38),
AND(ROW(L16)&gt;=99,ROW(L16)&lt;=128)), "","☐ Video ClrAna")</f>
        <v/>
      </c>
      <c r="N16" s="379" t="str">
        <f>IF(OR(INT((ROW(D16)-10)/30)+1=2,INT((ROW(D16)-10)/30)+1=4),"","☐ ")&amp;
IF(INT((ROW(D16)-10)/30)+1=1,"Scanner.cal","")&amp;
IF(INT((ROW(D16)-10)/30)+1=2,"","")&amp;
IF(INT((ROW(D16)-10)/30)+1=3,"Scanner.cal","")&amp;
IF(INT((ROW(D16)-10)/30)+1=4,"","")&amp;
IF(INT((ROW(D16)-10)/30)+1=5,"Scanner.cal","")&amp;
IF(INT((ROW(D16)-10)/30)+1=6,"Scanner.cal","")&amp;
IF(INT((ROW(D16)-10)/30)+1=7,"Scanner.cal","")&amp;
IF(INT((ROW(D16)-10)/30)+1=8,"Indiv" &amp; " Lens.cal","")</f>
        <v>☐ Scanner.cal</v>
      </c>
      <c r="O16" s="307" t="str">
        <f>IF(AND(ROW(L16)&gt;=9,ROW(L16)&lt;=38),"☐ RegentTarget.blu","")</f>
        <v>☐ RegentTarget.blu</v>
      </c>
      <c r="P16" s="215"/>
      <c r="Q16" s="215"/>
    </row>
    <row r="17" spans="1:17" ht="24" customHeight="1" x14ac:dyDescent="0.2">
      <c r="A17" s="427" t="s">
        <v>259</v>
      </c>
      <c r="B17" s="224" t="s">
        <v>259</v>
      </c>
      <c r="C17" s="307" t="s">
        <v>152</v>
      </c>
      <c r="D17" s="307" t="str">
        <f xml:space="preserve"> IF(N("If it is Cam, Do not Show XL")+AND(ROW(D17)&gt;=189,ROW(D17)&lt;=218),"","☐ XL Man")</f>
        <v>☐ XL Man</v>
      </c>
      <c r="E17" s="437" t="str">
        <f>IF(N("Si OR dessous = vrai, pas de box")+OR(
N("1 OR Tron ou CELL")+OR(AND(ROW(K16)&gt;=39,ROW(K16)&lt;=68),AND(ROW(K16)&gt;=99,ROW(K16)&lt;=128)),
N("2 Pas de système scanopy and range opy")+AND(ROW(K16)&gt;=219,ROW(K16)&lt;=248,SCANOPY_N_System&lt;2),
N("3 Avec LC")&amp;IF(ISERROR(LEFT(J15,SEARCH("00",J15)-3)),"",LEFT(J15,SEARCH("00",J15)-3))="LC"),"","☐ ")
&amp;
IF(N("If it's OPY, put OMount Manual instead")+
AND(ROW(J16)&gt;=219,ROW(J16)&lt;=248),
IF(SCANOPY_N_System&gt;1,"OMount Man",""),
IF(N("If it is Cell or Tron, Do not Show Scanner related items")+OR(
AND(ROW(K16)&gt;=39,ROW(K16)&lt;=68),
AND(ROW(K16)&gt;=99,ROW(K16)&lt;=128)),
    "", IF(1=N("Si système a un scanner différent du Scanner populaire alors différent, sinon Scanner populaire")+AND(NOT(ISERROR(SEARCH("System",J15))),LEFT(J15,2)&lt;&gt;LEFT(PROD_MostPopularScanner,2)),
LEFT(J15,SEARCH("00",J15)-3),
PROD_MostPopularScanner) &amp; " Install Man"))</f>
        <v>☐ Scan. Install Man</v>
      </c>
      <c r="F17" s="380" t="s">
        <v>275</v>
      </c>
      <c r="G17" s="307" t="s">
        <v>274</v>
      </c>
      <c r="H17" s="439" t="s">
        <v>250</v>
      </c>
      <c r="I17" s="381"/>
      <c r="J17" s="307" t="str">
        <f ca="1">IF(AND(
INDIRECT(
IF(INT((ROW(D17)-10)/30)+1=1,"DENDRO","")&amp;
IF(INT((ROW(D17)-10)/30)+1=2,"CELL","")&amp;
IF(INT((ROW(D17)-10)/30)+1=3,"RHIZO","")&amp;
IF(INT((ROW(D17)-10)/30)+1=4,"RHIZOTRON","")&amp;
IF(INT((ROW(D17)-10)/30)+1=5,"FOLIA","")&amp;
IF(INT((ROW(D17)-10)/30)+1=6,"SEEDLE","")&amp;
IF(INT((ROW(D17)-10)/30)+1=7,"CAM","")&amp;
IF(INT((ROW(D17)-10)/30)+1=8,"SCANOPY","") &amp; "_ChkB_RemoteUpdate"),
INDIRECT(
IF(INT((ROW(D17)-10)/30)+1=1,"DENDRO","")&amp;
IF(INT((ROW(D17)-10)/30)+1=2,"CELL","")&amp;
IF(INT((ROW(D17)-10)/30)+1=3,"RHIZO","")&amp;
IF(INT((ROW(D17)-10)/30)+1=4,"RHIZOTRON","")&amp;
IF(INT((ROW(D17)-10)/30)+1=5,"FOLIA","")&amp;
IF(INT((ROW(D17)-10)/30)+1=6,"SEEDLE","")&amp;
IF(INT((ROW(D17)-10)/30)+1=7,"CAM","")&amp;
IF(INT((ROW(D17)-10)/30)+1=8,"SCANOPY","") &amp; "_ChkBox_UpgradeUpdate")),
"Clé de bois ou Download. Reprogrammation clé client",
"☐ " &amp; IF(AND(QUOTE_Split_SoftwareHardware,QUOTE_InternetDownload),"Man ds env. ""Documents"", Clé ds bulle collée sur env.","Reliée au Man"))</f>
        <v>☐ Reliée au Man</v>
      </c>
      <c r="K17" s="265"/>
      <c r="L17" s="223"/>
      <c r="M17" s="439"/>
      <c r="N17" s="380"/>
      <c r="O17" s="307"/>
      <c r="P17" s="215"/>
      <c r="Q17" s="215"/>
    </row>
    <row r="18" spans="1:17" ht="16.25" customHeight="1" x14ac:dyDescent="0.2">
      <c r="A18" s="415"/>
      <c r="B18" s="290"/>
      <c r="C18" s="905" t="str">
        <f>IF((DENDRO_N_UpgradeUpdate + DENDRO_N_Software ) = 2,"",LEFT(INDEX(DENDRO_SoftwareFullNames,DENDRO_IndexSoftware),FIND(" ",INDEX(DENDRO_SoftwareFullNames,DENDRO_IndexSoftware),FIND(" ",INDEX(DENDRO_SoftwareFullNames,DENDRO_IndexSoftware))+1)) &amp;
DENDRO_YearMostRecent )</f>
        <v/>
      </c>
      <c r="D18" s="905"/>
      <c r="E18" s="374"/>
      <c r="F18" s="298"/>
      <c r="G18" s="269" t="str">
        <f>IF(DENDRO_OptionXL*(DENDRO_N_Software+DENDRO_N_UpgradeUpdate-2)&gt;=((ROW(G18)-ROW($G$9))/4+1),"XLSTEM "&amp; DENDRO_YearMostRecent,"")</f>
        <v/>
      </c>
      <c r="H18" s="226"/>
      <c r="I18" s="226"/>
      <c r="J18" s="269" t="str">
        <f>IF(DENDRO_N_System-1&gt;=((ROW(G18)-ROW($G$9))/4+1),IF(DENDRO_IndexScanner=1,"STD4800","LA2400") &amp; " System"&amp; IF(AND(DENDRO_ClientWithOrWithoutScanner=2,DENDRO_N_System&gt;1)," Sans Scanner"," Avec Scanner"),
IF(AND(DENDRO_N_Software&gt;DENDRO_N_System,DENDRO_N_Software-1&gt;=((ROW(G18)-ROW($G$9))/4+1)),IF(N_SystemTotal=0,"Software Only",IF(N_STDScanners+N_LAScanners+N_LCScanners=0,"Software Sans Scanner","Software Avec Scanner")),
IF(DENDRO_N_UpgradeUpdate-1&gt;=((ROW(G18)-ROW($G$9))/4+1)-(MAX(DENDRO_N_System,DENDRO_N_Software)-1),"Update","")))</f>
        <v/>
      </c>
      <c r="K18" s="226"/>
      <c r="L18" s="219"/>
      <c r="M18" s="220"/>
      <c r="N18" s="219"/>
      <c r="O18" s="377"/>
      <c r="P18" s="215"/>
      <c r="Q18" s="215"/>
    </row>
    <row r="19" spans="1:17" ht="24" customHeight="1" x14ac:dyDescent="0.2">
      <c r="A19" s="427" t="s">
        <v>258</v>
      </c>
      <c r="B19" s="287" t="s">
        <v>258</v>
      </c>
      <c r="C19" s="378" t="str">
        <f>IF(AND(QUOTE_Split_SoftwareHardware,QUOTE_InternetDownload),"",
"☐☐ Win" &amp;
IF(INT((ROW(D19)-10)/30)+1=1,"DEN","")&amp;
IF(INT((ROW(D19)-10)/30)+1=2,"CEL","")&amp;
IF(INT((ROW(D19)-10)/30)+1=3,"RHI","")&amp;
IF(INT((ROW(D19)-10)/30)+1=4,"RT","")&amp;
IF(INT((ROW(D19)-10)/30)+1=5,"FOL","")&amp;
IF(INT((ROW(D19)-10)/30)+1=6,"SEE","")&amp;
IF(INT((ROW(D19)-10)/30)+1=7,"CAM","")&amp;
IF(INT((ROW(D19)-10)/30)+1=8,"SCA","") &amp; ".exe")</f>
        <v>☐☐ WinDEN.exe</v>
      </c>
      <c r="D19" s="378" t="str">
        <f>IF(AND(QUOTE_Split_SoftwareHardware,QUOTE_InternetDownload),"",
 IF(N("If it is Cam, Do not Show XL")+AND(ROW(D19)&gt;=189,ROW(D19)&lt;=218),"","☐ XL" &amp;
IF(INT((ROW(D19)-10)/30)+1=1,"STEM","")&amp;
IF(INT((ROW(D19)-10)/30)+1=2,"Cell","")&amp;
IF(INT((ROW(D19)-10)/30)+1=3,"Rhizo","")&amp;
IF(INT((ROW(D19)-10)/30)+1=4,"RhizoT","")&amp;
IF(INT((ROW(D19)-10)/30)+1=5,"Folia","")&amp;
IF(INT((ROW(D19)-10)/30)+1=6,"Seedle","")&amp;
IF(INT((ROW(D19)-10)/30)+1=7,"Cam","")&amp;
IF(INT((ROW(D19)-10)/30)+1=8,"Scanopy","") &amp; ".xls"))</f>
        <v>☐ XLSTEM.xls</v>
      </c>
      <c r="E19" s="378" t="s">
        <v>299</v>
      </c>
      <c r="F19" s="379" t="s">
        <v>152</v>
      </c>
      <c r="G19" s="378" t="str">
        <f xml:space="preserve"> IF(N("If it is Cam, Do not Show XL")+AND(ROW(G19)&gt;=189,ROW(G19)&lt;=218),"","☐ XL Man")</f>
        <v>☐ XL Man</v>
      </c>
      <c r="H19" s="379" t="s">
        <v>280</v>
      </c>
      <c r="I19" s="307" t="s">
        <v>274</v>
      </c>
      <c r="J19" s="379" t="str">
        <f>IF(N("Si OR dessous = vrai, pas de box")+OR(
N("1 OR Tron ou CELL")+OR(AND(ROW(E19)&gt;=39,ROW(E19)&lt;=68),AND(ROW(E19)&gt;=99,ROW(E19)&lt;=128)),
N("2 Pas de système scanopy and range opy")+AND(ROW(E19)&gt;=219,ROW(E19)&lt;=248,SCANOPY_N_System&lt;2),
N("3 Avec LC") + IF(AND(IF(PROD_MostPopularScanner="LC",1,0), NOT(AND(ROW(E19)&gt;=129,ROW(E19)&lt;=158)), NOT(AND(ROW(E19)&gt;=189,ROW(E19)&lt;=218))),1,0)
),"","☐ ")
&amp;
IF(N("If it's OPY, put OMount Manual instead")+
AND(ROW(D19)&gt;=219,ROW(D19)&lt;=248),
IF(SCANOPY_N_System&gt;1,
IF(SCANOPY_IndexScanner=1,"α" &amp; SCANOPY_CameraModel,SCANOPY_CameraModel_Mini) &amp; " Man",""),
IF(N("Empty si OR = true . . .If it is Cell or Tron, Do not Show Scanner related items + Hide if LC is favorite on unavailable product")+OR(
AND(ROW(E19)&gt;=39,ROW(E19)&lt;=68),
AND(ROW(E19)&gt;=99,ROW(E19)&lt;=128),
AND(IF(PROD_MostPopularScanner="LC",1,0), NOT(AND(ROW(E19)&gt;=129,ROW(E19)&lt;=158)), NOT(AND(ROW(E19)&gt;=189,ROW(E19)&lt;=218))),
0=1),
    "", IF(1=N("Si système a un scanner différent du Scanner populaire alors différent, sinon Scanner populaire")+AND(NOT(ISERROR(SEARCH("System",J18))),LEFT(J18,2)&lt;&gt;LEFT(PROD_MostPopularScanner,2)),
LEFT(J18,SEARCH("00",J18)-3),
PROD_MostPopularScanner) &amp; " Install Man"))</f>
        <v>☐ Scan. Install Man</v>
      </c>
      <c r="K19" s="378" t="str">
        <f>IF(N("If it is Cell or Tron or OPY, Do not Show Twain")+OR(AND(ROW(K19)&gt;=39,ROW(K19)&lt;=68),AND(ROW(K19)&gt;=99,ROW(K19)&lt;=128),AND(ROW(J19)&gt;=219,ROW(J19)&lt;=248)),"","☐ TWAIN")</f>
        <v>☐ TWAIN</v>
      </c>
      <c r="L19" s="379" t="str">
        <f>IF(AND(IF(PROD_MostPopularScanner="LC",1,0), NOT(AND(ROW(E19)&gt;=129,ROW(E19)&lt;=158)), NOT(AND(ROW(E19)&gt;=189,ROW(E19)&lt;=218))),"",
IF(N("Si OR dessous = vrai, pas de box")+OR(
N("1 OR Dendro+CELL, Tron+Folia,Cam")+OR(
AND(ROW(K19)&gt;=9,ROW(K19)&lt;=68),
AND(ROW(K19)&gt;=99,ROW(K19)&lt;=158),
AND(ROW(K19)&gt;=189,ROW(K19)&lt;=218)),
N("2 Pas de système scanopy and range opy")+AND(ROW(K19)&gt;=219,ROW(K19)&lt;=248,SCANOPY_N_System&lt;2),
N("3 Avec LC")&amp;IF(ISERROR(LEFT(J18,SEARCH("00",J18)-3)),"",LEFT(J18,SEARCH("00",J18)-3))="LC"),"","☐ ")
&amp;
IF(N("If it's OPY, put OMount Manual instead")+
AND(ROW(J19)&gt;=219,ROW(J19)&lt;=248),
IF(SCANOPY_N_System&gt;1,"OMount Man",""),
IF(N("If it is Dendro+CELL, Tron+Folia or Cam, Do not Show Scanner related items+No Video if LC")+OR(
AND(ROW(K19)&gt;=9,ROW(K19)&lt;=68),
AND(ROW(K19)&gt;=99,ROW(K19)&lt;=158),
AND(ROW(K19)&gt;=189,ROW(K19)&lt;=218),
IF(ISERROR(LEFT(J18,SEARCH("00",J18)-3)),"",LEFT(J18,SEARCH("00",J18)-3))="LC"),
    "", "Video " &amp; IF(1=N("Si système a un scanner différent du Scanner populaire alors différent, sinon Scanner populaire")+AND(NOT(ISERROR(SEARCH("System",J18))),LEFT(J18,2)&lt;&gt;LEFT(PROD_MostPopularScanner,2)),
LEFT(J18,SEARCH("00",J18)-3),
PROD_MostPopularScanner) &amp; " Install"))
)</f>
        <v/>
      </c>
      <c r="M19" s="378" t="str">
        <f>IF(N("If it is Dendro or Tron, Do not Show Color Analysis Video")+
OR(AND(ROW(L19)&gt;=9,ROW(L19)&lt;=38),
AND(ROW(L19)&gt;=99,ROW(L19)&lt;=128)), "","☐ Video ClrAna")</f>
        <v/>
      </c>
      <c r="N19" s="379" t="str">
        <f>IF(OR(INT((ROW(D19)-10)/30)+1=2,INT((ROW(D19)-10)/30)+1=4),"","☐ ")&amp;
IF(INT((ROW(D19)-10)/30)+1=1,"Scanner.cal","")&amp;
IF(INT((ROW(D19)-10)/30)+1=2,"","")&amp;
IF(INT((ROW(D19)-10)/30)+1=3,"Scanner.cal","")&amp;
IF(INT((ROW(D19)-10)/30)+1=4,"","")&amp;
IF(INT((ROW(D19)-10)/30)+1=5,"Scanner.cal","")&amp;
IF(INT((ROW(D19)-10)/30)+1=6,"Scanner.cal","")&amp;
IF(INT((ROW(D19)-10)/30)+1=7,"Scanner.cal","")&amp;
IF(INT((ROW(D19)-10)/30)+1=8,"Indiv" &amp; " Lens.cal","")</f>
        <v>☐ Scanner.cal</v>
      </c>
      <c r="O19" s="307" t="str">
        <f>IF(AND(ROW(L19)&gt;=9,ROW(L19)&lt;=38),"☐ RegentTarget.blu","")</f>
        <v>☐ RegentTarget.blu</v>
      </c>
      <c r="P19" s="215"/>
      <c r="Q19" s="215"/>
    </row>
    <row r="20" spans="1:17" ht="24" customHeight="1" x14ac:dyDescent="0.2">
      <c r="A20" s="427" t="s">
        <v>259</v>
      </c>
      <c r="B20" s="224" t="s">
        <v>259</v>
      </c>
      <c r="C20" s="307" t="s">
        <v>152</v>
      </c>
      <c r="D20" s="307" t="str">
        <f xml:space="preserve"> IF(N("If it is Cam, Do not Show XL")+AND(ROW(D20)&gt;=189,ROW(D20)&lt;=218),"","☐ XL Man")</f>
        <v>☐ XL Man</v>
      </c>
      <c r="E20" s="437" t="str">
        <f>IF(N("Si OR dessous = vrai, pas de box")+OR(
N("1 OR Tron ou CELL")+OR(AND(ROW(K19)&gt;=39,ROW(K19)&lt;=68),AND(ROW(K19)&gt;=99,ROW(K19)&lt;=128)),
N("2 Pas de système scanopy and range opy")+AND(ROW(K19)&gt;=219,ROW(K19)&lt;=248,SCANOPY_N_System&lt;2),
N("3 Avec LC")&amp;IF(ISERROR(LEFT(J18,SEARCH("00",J18)-3)),"",LEFT(J18,SEARCH("00",J18)-3))="LC"),"","☐ ")
&amp;
IF(N("If it's OPY, put OMount Manual instead")+
AND(ROW(J19)&gt;=219,ROW(J19)&lt;=248),
IF(SCANOPY_N_System&gt;1,"OMount Man",""),
IF(N("If it is Cell or Tron, Do not Show Scanner related items")+OR(
AND(ROW(K19)&gt;=39,ROW(K19)&lt;=68),
AND(ROW(K19)&gt;=99,ROW(K19)&lt;=128)),
    "", IF(1=N("Si système a un scanner différent du Scanner populaire alors différent, sinon Scanner populaire")+AND(NOT(ISERROR(SEARCH("System",J18))),LEFT(J18,2)&lt;&gt;LEFT(PROD_MostPopularScanner,2)),
LEFT(J18,SEARCH("00",J18)-3),
PROD_MostPopularScanner) &amp; " Install Man"))</f>
        <v>☐ Scan. Install Man</v>
      </c>
      <c r="F20" s="380" t="s">
        <v>275</v>
      </c>
      <c r="G20" s="307" t="s">
        <v>274</v>
      </c>
      <c r="H20" s="439" t="s">
        <v>250</v>
      </c>
      <c r="I20" s="381"/>
      <c r="J20" s="307" t="str">
        <f ca="1">IF(AND(
INDIRECT(
IF(INT((ROW(D20)-10)/30)+1=1,"DENDRO","")&amp;
IF(INT((ROW(D20)-10)/30)+1=2,"CELL","")&amp;
IF(INT((ROW(D20)-10)/30)+1=3,"RHIZO","")&amp;
IF(INT((ROW(D20)-10)/30)+1=4,"RHIZOTRON","")&amp;
IF(INT((ROW(D20)-10)/30)+1=5,"FOLIA","")&amp;
IF(INT((ROW(D20)-10)/30)+1=6,"SEEDLE","")&amp;
IF(INT((ROW(D20)-10)/30)+1=7,"CAM","")&amp;
IF(INT((ROW(D20)-10)/30)+1=8,"SCANOPY","") &amp; "_ChkB_RemoteUpdate"),
INDIRECT(
IF(INT((ROW(D20)-10)/30)+1=1,"DENDRO","")&amp;
IF(INT((ROW(D20)-10)/30)+1=2,"CELL","")&amp;
IF(INT((ROW(D20)-10)/30)+1=3,"RHIZO","")&amp;
IF(INT((ROW(D20)-10)/30)+1=4,"RHIZOTRON","")&amp;
IF(INT((ROW(D20)-10)/30)+1=5,"FOLIA","")&amp;
IF(INT((ROW(D20)-10)/30)+1=6,"SEEDLE","")&amp;
IF(INT((ROW(D20)-10)/30)+1=7,"CAM","")&amp;
IF(INT((ROW(D20)-10)/30)+1=8,"SCANOPY","") &amp; "_ChkBox_UpgradeUpdate")),
"Clé de bois ou Download. Reprogrammation clé client",
"☐ " &amp; IF(AND(QUOTE_Split_SoftwareHardware,QUOTE_InternetDownload),"Man ds env. ""Documents"", Clé ds bulle collée sur env.","Reliée au Man"))</f>
        <v>☐ Reliée au Man</v>
      </c>
      <c r="K20" s="265"/>
      <c r="L20" s="223"/>
      <c r="M20" s="439"/>
      <c r="N20" s="380"/>
      <c r="O20" s="307"/>
      <c r="P20" s="215"/>
      <c r="Q20" s="215"/>
    </row>
    <row r="21" spans="1:17" ht="16.25" customHeight="1" x14ac:dyDescent="0.2">
      <c r="A21" s="415"/>
      <c r="B21" s="290"/>
      <c r="C21" s="905" t="str">
        <f>IF((DENDRO_N_UpgradeUpdate + DENDRO_N_Software ) = 2,"",LEFT(INDEX(DENDRO_SoftwareFullNames,DENDRO_IndexSoftware),FIND(" ",INDEX(DENDRO_SoftwareFullNames,DENDRO_IndexSoftware),FIND(" ",INDEX(DENDRO_SoftwareFullNames,DENDRO_IndexSoftware))+1)) &amp;
DENDRO_YearMostRecent )</f>
        <v/>
      </c>
      <c r="D21" s="905"/>
      <c r="E21" s="374"/>
      <c r="F21" s="298"/>
      <c r="G21" s="269" t="str">
        <f>IF(DENDRO_OptionXL*(DENDRO_N_Software+DENDRO_N_UpgradeUpdate-2)&gt;=((ROW(G21)-ROW($G$9))/4+1),"XLSTEM "&amp; DENDRO_YearMostRecent,"")</f>
        <v/>
      </c>
      <c r="H21" s="226"/>
      <c r="I21" s="226"/>
      <c r="J21" s="269" t="str">
        <f>IF(DENDRO_N_System-1&gt;=((ROW(G21)-ROW($G$9))/4+1),IF(DENDRO_IndexScanner=1,"STD4800","LA2400") &amp; " System"&amp; IF(AND(DENDRO_ClientWithOrWithoutScanner=2,DENDRO_N_System&gt;1)," Sans Scanner"," Avec Scanner"),
IF(AND(DENDRO_N_Software&gt;DENDRO_N_System,DENDRO_N_Software-1&gt;=((ROW(G21)-ROW($G$9))/4+1)),IF(N_SystemTotal=0,"Software Only",IF(N_STDScanners+N_LAScanners+N_LCScanners=0,"Software Sans Scanner","Software Avec Scanner")),
IF(DENDRO_N_UpgradeUpdate-1&gt;=((ROW(G21)-ROW($G$9))/4+1)-(MAX(DENDRO_N_System,DENDRO_N_Software)-1),"Update","")))</f>
        <v/>
      </c>
      <c r="K21" s="226"/>
      <c r="L21" s="219"/>
      <c r="M21" s="220"/>
      <c r="N21" s="219"/>
      <c r="O21" s="377"/>
      <c r="P21" s="215"/>
      <c r="Q21" s="215"/>
    </row>
    <row r="22" spans="1:17" ht="24" customHeight="1" x14ac:dyDescent="0.2">
      <c r="A22" s="427" t="s">
        <v>258</v>
      </c>
      <c r="B22" s="287" t="s">
        <v>258</v>
      </c>
      <c r="C22" s="378" t="str">
        <f>IF(AND(QUOTE_Split_SoftwareHardware,QUOTE_InternetDownload),"",
"☐☐ Win" &amp;
IF(INT((ROW(D22)-10)/30)+1=1,"DEN","")&amp;
IF(INT((ROW(D22)-10)/30)+1=2,"CEL","")&amp;
IF(INT((ROW(D22)-10)/30)+1=3,"RHI","")&amp;
IF(INT((ROW(D22)-10)/30)+1=4,"RT","")&amp;
IF(INT((ROW(D22)-10)/30)+1=5,"FOL","")&amp;
IF(INT((ROW(D22)-10)/30)+1=6,"SEE","")&amp;
IF(INT((ROW(D22)-10)/30)+1=7,"CAM","")&amp;
IF(INT((ROW(D22)-10)/30)+1=8,"SCA","") &amp; ".exe")</f>
        <v>☐☐ WinDEN.exe</v>
      </c>
      <c r="D22" s="378" t="str">
        <f>IF(AND(QUOTE_Split_SoftwareHardware,QUOTE_InternetDownload),"",
 IF(N("If it is Cam, Do not Show XL")+AND(ROW(D22)&gt;=189,ROW(D22)&lt;=218),"","☐ XL" &amp;
IF(INT((ROW(D22)-10)/30)+1=1,"STEM","")&amp;
IF(INT((ROW(D22)-10)/30)+1=2,"Cell","")&amp;
IF(INT((ROW(D22)-10)/30)+1=3,"Rhizo","")&amp;
IF(INT((ROW(D22)-10)/30)+1=4,"RhizoT","")&amp;
IF(INT((ROW(D22)-10)/30)+1=5,"Folia","")&amp;
IF(INT((ROW(D22)-10)/30)+1=6,"Seedle","")&amp;
IF(INT((ROW(D22)-10)/30)+1=7,"Cam","")&amp;
IF(INT((ROW(D22)-10)/30)+1=8,"Scanopy","") &amp; ".xls"))</f>
        <v>☐ XLSTEM.xls</v>
      </c>
      <c r="E22" s="378" t="s">
        <v>299</v>
      </c>
      <c r="F22" s="379" t="s">
        <v>152</v>
      </c>
      <c r="G22" s="378" t="str">
        <f xml:space="preserve"> IF(N("If it is Cam, Do not Show XL")+AND(ROW(G22)&gt;=189,ROW(G22)&lt;=218),"","☐ XL Man")</f>
        <v>☐ XL Man</v>
      </c>
      <c r="H22" s="379" t="s">
        <v>280</v>
      </c>
      <c r="I22" s="307" t="s">
        <v>274</v>
      </c>
      <c r="J22" s="379" t="str">
        <f>IF(N("Si OR dessous = vrai, pas de box")+OR(
N("1 OR Tron ou CELL")+OR(AND(ROW(E22)&gt;=39,ROW(E22)&lt;=68),AND(ROW(E22)&gt;=99,ROW(E22)&lt;=128)),
N("2 Pas de système scanopy and range opy")+AND(ROW(E22)&gt;=219,ROW(E22)&lt;=248,SCANOPY_N_System&lt;2),
N("3 Avec LC") + IF(AND(IF(PROD_MostPopularScanner="LC",1,0), NOT(AND(ROW(E22)&gt;=129,ROW(E22)&lt;=158)), NOT(AND(ROW(E22)&gt;=189,ROW(E22)&lt;=218))),1,0)
),"","☐ ")
&amp;
IF(N("If it's OPY, put OMount Manual instead")+
AND(ROW(D22)&gt;=219,ROW(D22)&lt;=248),
IF(SCANOPY_N_System&gt;1,
IF(SCANOPY_IndexScanner=1,"α" &amp; SCANOPY_CameraModel,SCANOPY_CameraModel_Mini) &amp; " Man",""),
IF(N("Empty si OR = true . . .If it is Cell or Tron, Do not Show Scanner related items + Hide if LC is favorite on unavailable product")+OR(
AND(ROW(E22)&gt;=39,ROW(E22)&lt;=68),
AND(ROW(E22)&gt;=99,ROW(E22)&lt;=128),
AND(IF(PROD_MostPopularScanner="LC",1,0), NOT(AND(ROW(E22)&gt;=129,ROW(E22)&lt;=158)), NOT(AND(ROW(E22)&gt;=189,ROW(E22)&lt;=218))),
0=1),
    "", IF(1=N("Si système a un scanner différent du Scanner populaire alors différent, sinon Scanner populaire")+AND(NOT(ISERROR(SEARCH("System",J21))),LEFT(J21,2)&lt;&gt;LEFT(PROD_MostPopularScanner,2)),
LEFT(J21,SEARCH("00",J21)-3),
PROD_MostPopularScanner) &amp; " Install Man"))</f>
        <v>☐ Scan. Install Man</v>
      </c>
      <c r="K22" s="378" t="str">
        <f>IF(N("If it is Cell or Tron or OPY, Do not Show Twain")+OR(AND(ROW(K22)&gt;=39,ROW(K22)&lt;=68),AND(ROW(K22)&gt;=99,ROW(K22)&lt;=128),AND(ROW(J22)&gt;=219,ROW(J22)&lt;=248)),"","☐ TWAIN")</f>
        <v>☐ TWAIN</v>
      </c>
      <c r="L22" s="379" t="str">
        <f>IF(AND(IF(PROD_MostPopularScanner="LC",1,0), NOT(AND(ROW(E22)&gt;=129,ROW(E22)&lt;=158)), NOT(AND(ROW(E22)&gt;=189,ROW(E22)&lt;=218))),"",
IF(N("Si OR dessous = vrai, pas de box")+OR(
N("1 OR Dendro+CELL, Tron+Folia,Cam")+OR(
AND(ROW(K22)&gt;=9,ROW(K22)&lt;=68),
AND(ROW(K22)&gt;=99,ROW(K22)&lt;=158),
AND(ROW(K22)&gt;=189,ROW(K22)&lt;=218)),
N("2 Pas de système scanopy and range opy")+AND(ROW(K22)&gt;=219,ROW(K22)&lt;=248,SCANOPY_N_System&lt;2),
N("3 Avec LC")&amp;IF(ISERROR(LEFT(J21,SEARCH("00",J21)-3)),"",LEFT(J21,SEARCH("00",J21)-3))="LC"),"","☐ ")
&amp;
IF(N("If it's OPY, put OMount Manual instead")+
AND(ROW(J22)&gt;=219,ROW(J22)&lt;=248),
IF(SCANOPY_N_System&gt;1,"OMount Man",""),
IF(N("If it is Dendro+CELL, Tron+Folia or Cam, Do not Show Scanner related items+No Video if LC")+OR(
AND(ROW(K22)&gt;=9,ROW(K22)&lt;=68),
AND(ROW(K22)&gt;=99,ROW(K22)&lt;=158),
AND(ROW(K22)&gt;=189,ROW(K22)&lt;=218),
IF(ISERROR(LEFT(J21,SEARCH("00",J21)-3)),"",LEFT(J21,SEARCH("00",J21)-3))="LC"),
    "", "Video " &amp; IF(1=N("Si système a un scanner différent du Scanner populaire alors différent, sinon Scanner populaire")+AND(NOT(ISERROR(SEARCH("System",J21))),LEFT(J21,2)&lt;&gt;LEFT(PROD_MostPopularScanner,2)),
LEFT(J21,SEARCH("00",J21)-3),
PROD_MostPopularScanner) &amp; " Install"))
)</f>
        <v/>
      </c>
      <c r="M22" s="378" t="str">
        <f>IF(N("If it is Dendro or Tron, Do not Show Color Analysis Video")+
OR(AND(ROW(L22)&gt;=9,ROW(L22)&lt;=38),
AND(ROW(L22)&gt;=99,ROW(L22)&lt;=128)), "","☐ Video ClrAna")</f>
        <v/>
      </c>
      <c r="N22" s="379" t="str">
        <f>IF(OR(INT((ROW(D22)-10)/30)+1=2,INT((ROW(D22)-10)/30)+1=4),"","☐ ")&amp;
IF(INT((ROW(D22)-10)/30)+1=1,"Scanner.cal","")&amp;
IF(INT((ROW(D22)-10)/30)+1=2,"","")&amp;
IF(INT((ROW(D22)-10)/30)+1=3,"Scanner.cal","")&amp;
IF(INT((ROW(D22)-10)/30)+1=4,"","")&amp;
IF(INT((ROW(D22)-10)/30)+1=5,"Scanner.cal","")&amp;
IF(INT((ROW(D22)-10)/30)+1=6,"Scanner.cal","")&amp;
IF(INT((ROW(D22)-10)/30)+1=7,"Scanner.cal","")&amp;
IF(INT((ROW(D22)-10)/30)+1=8,"Indiv" &amp; " Lens.cal","")</f>
        <v>☐ Scanner.cal</v>
      </c>
      <c r="O22" s="307" t="str">
        <f>IF(AND(ROW(L22)&gt;=9,ROW(L22)&lt;=38),"☐ RegentTarget.blu","")</f>
        <v>☐ RegentTarget.blu</v>
      </c>
      <c r="P22" s="215"/>
      <c r="Q22" s="215"/>
    </row>
    <row r="23" spans="1:17" ht="24" customHeight="1" x14ac:dyDescent="0.2">
      <c r="A23" s="427" t="s">
        <v>259</v>
      </c>
      <c r="B23" s="224" t="s">
        <v>259</v>
      </c>
      <c r="C23" s="307" t="s">
        <v>152</v>
      </c>
      <c r="D23" s="307" t="str">
        <f xml:space="preserve"> IF(N("If it is Cam, Do not Show XL")+AND(ROW(D23)&gt;=189,ROW(D23)&lt;=218),"","☐ XL Man")</f>
        <v>☐ XL Man</v>
      </c>
      <c r="E23" s="437" t="str">
        <f>IF(N("Si OR dessous = vrai, pas de box")+OR(
N("1 OR Tron ou CELL")+OR(AND(ROW(K22)&gt;=39,ROW(K22)&lt;=68),AND(ROW(K22)&gt;=99,ROW(K22)&lt;=128)),
N("2 Pas de système scanopy and range opy")+AND(ROW(K22)&gt;=219,ROW(K22)&lt;=248,SCANOPY_N_System&lt;2),
N("3 Avec LC")&amp;IF(ISERROR(LEFT(J21,SEARCH("00",J21)-3)),"",LEFT(J21,SEARCH("00",J21)-3))="LC"),"","☐ ")
&amp;
IF(N("If it's OPY, put OMount Manual instead")+
AND(ROW(J22)&gt;=219,ROW(J22)&lt;=248),
IF(SCANOPY_N_System&gt;1,"OMount Man",""),
IF(N("If it is Cell or Tron, Do not Show Scanner related items")+OR(
AND(ROW(K22)&gt;=39,ROW(K22)&lt;=68),
AND(ROW(K22)&gt;=99,ROW(K22)&lt;=128)),
    "", IF(1=N("Si système a un scanner différent du Scanner populaire alors différent, sinon Scanner populaire")+AND(NOT(ISERROR(SEARCH("System",J21))),LEFT(J21,2)&lt;&gt;LEFT(PROD_MostPopularScanner,2)),
LEFT(J21,SEARCH("00",J21)-3),
PROD_MostPopularScanner) &amp; " Install Man"))</f>
        <v>☐ Scan. Install Man</v>
      </c>
      <c r="F23" s="380" t="s">
        <v>275</v>
      </c>
      <c r="G23" s="307" t="s">
        <v>274</v>
      </c>
      <c r="H23" s="439" t="s">
        <v>250</v>
      </c>
      <c r="I23" s="381"/>
      <c r="J23" s="307" t="str">
        <f ca="1">IF(AND(
INDIRECT(
IF(INT((ROW(D23)-10)/30)+1=1,"DENDRO","")&amp;
IF(INT((ROW(D23)-10)/30)+1=2,"CELL","")&amp;
IF(INT((ROW(D23)-10)/30)+1=3,"RHIZO","")&amp;
IF(INT((ROW(D23)-10)/30)+1=4,"RHIZOTRON","")&amp;
IF(INT((ROW(D23)-10)/30)+1=5,"FOLIA","")&amp;
IF(INT((ROW(D23)-10)/30)+1=6,"SEEDLE","")&amp;
IF(INT((ROW(D23)-10)/30)+1=7,"CAM","")&amp;
IF(INT((ROW(D23)-10)/30)+1=8,"SCANOPY","") &amp; "_ChkB_RemoteUpdate"),
INDIRECT(
IF(INT((ROW(D23)-10)/30)+1=1,"DENDRO","")&amp;
IF(INT((ROW(D23)-10)/30)+1=2,"CELL","")&amp;
IF(INT((ROW(D23)-10)/30)+1=3,"RHIZO","")&amp;
IF(INT((ROW(D23)-10)/30)+1=4,"RHIZOTRON","")&amp;
IF(INT((ROW(D23)-10)/30)+1=5,"FOLIA","")&amp;
IF(INT((ROW(D23)-10)/30)+1=6,"SEEDLE","")&amp;
IF(INT((ROW(D23)-10)/30)+1=7,"CAM","")&amp;
IF(INT((ROW(D23)-10)/30)+1=8,"SCANOPY","") &amp; "_ChkBox_UpgradeUpdate")),
"Clé de bois ou Download. Reprogrammation clé client",
"☐ " &amp; IF(AND(QUOTE_Split_SoftwareHardware,QUOTE_InternetDownload),"Man ds env. ""Documents"", Clé ds bulle collée sur env.","Reliée au Man"))</f>
        <v>☐ Reliée au Man</v>
      </c>
      <c r="K23" s="265"/>
      <c r="L23" s="223"/>
      <c r="M23" s="439"/>
      <c r="N23" s="380"/>
      <c r="O23" s="307"/>
      <c r="P23" s="215"/>
      <c r="Q23" s="215"/>
    </row>
    <row r="24" spans="1:17" ht="16.25" customHeight="1" x14ac:dyDescent="0.2">
      <c r="A24" s="415"/>
      <c r="B24" s="290"/>
      <c r="C24" s="905" t="str">
        <f>IF((DENDRO_N_UpgradeUpdate + DENDRO_N_Software ) = 2,"",LEFT(INDEX(DENDRO_SoftwareFullNames,DENDRO_IndexSoftware),FIND(" ",INDEX(DENDRO_SoftwareFullNames,DENDRO_IndexSoftware),FIND(" ",INDEX(DENDRO_SoftwareFullNames,DENDRO_IndexSoftware))+1)) &amp;
DENDRO_YearMostRecent )</f>
        <v/>
      </c>
      <c r="D24" s="905"/>
      <c r="E24" s="374"/>
      <c r="F24" s="298"/>
      <c r="G24" s="269" t="str">
        <f>IF(DENDRO_OptionXL*(DENDRO_N_Software+DENDRO_N_UpgradeUpdate-2)&gt;=((ROW(G24)-ROW($G$9))/4+1),"XLSTEM "&amp; DENDRO_YearMostRecent,"")</f>
        <v/>
      </c>
      <c r="H24" s="226"/>
      <c r="I24" s="226"/>
      <c r="J24" s="269" t="str">
        <f>IF(DENDRO_N_System-1&gt;=((ROW(G24)-ROW($G$9))/4+1),IF(DENDRO_IndexScanner=1,"STD4800","LA2400") &amp; " System"&amp; IF(AND(DENDRO_ClientWithOrWithoutScanner=2,DENDRO_N_System&gt;1)," Sans Scanner"," Avec Scanner"),
IF(AND(DENDRO_N_Software&gt;DENDRO_N_System,DENDRO_N_Software-1&gt;=((ROW(G24)-ROW($G$9))/4+1)),IF(N_SystemTotal=0,"Software Only",IF(N_STDScanners+N_LAScanners+N_LCScanners=0,"Software Sans Scanner","Software Avec Scanner")),
IF(DENDRO_N_UpgradeUpdate-1&gt;=((ROW(G24)-ROW($G$9))/4+1)-(MAX(DENDRO_N_System,DENDRO_N_Software)-1),"Update","")))</f>
        <v/>
      </c>
      <c r="K24" s="226"/>
      <c r="L24" s="219"/>
      <c r="M24" s="220"/>
      <c r="N24" s="219"/>
      <c r="O24" s="377"/>
      <c r="P24" s="215"/>
      <c r="Q24" s="215"/>
    </row>
    <row r="25" spans="1:17" ht="24" customHeight="1" x14ac:dyDescent="0.2">
      <c r="A25" s="427" t="s">
        <v>258</v>
      </c>
      <c r="B25" s="287" t="s">
        <v>258</v>
      </c>
      <c r="C25" s="378" t="str">
        <f>IF(AND(QUOTE_Split_SoftwareHardware,QUOTE_InternetDownload),"",
"☐☐ Win" &amp;
IF(INT((ROW(D25)-10)/30)+1=1,"DEN","")&amp;
IF(INT((ROW(D25)-10)/30)+1=2,"CEL","")&amp;
IF(INT((ROW(D25)-10)/30)+1=3,"RHI","")&amp;
IF(INT((ROW(D25)-10)/30)+1=4,"RT","")&amp;
IF(INT((ROW(D25)-10)/30)+1=5,"FOL","")&amp;
IF(INT((ROW(D25)-10)/30)+1=6,"SEE","")&amp;
IF(INT((ROW(D25)-10)/30)+1=7,"CAM","")&amp;
IF(INT((ROW(D25)-10)/30)+1=8,"SCA","") &amp; ".exe")</f>
        <v>☐☐ WinDEN.exe</v>
      </c>
      <c r="D25" s="378" t="str">
        <f>IF(AND(QUOTE_Split_SoftwareHardware,QUOTE_InternetDownload),"",
 IF(N("If it is Cam, Do not Show XL")+AND(ROW(D25)&gt;=189,ROW(D25)&lt;=218),"","☐ XL" &amp;
IF(INT((ROW(D25)-10)/30)+1=1,"STEM","")&amp;
IF(INT((ROW(D25)-10)/30)+1=2,"Cell","")&amp;
IF(INT((ROW(D25)-10)/30)+1=3,"Rhizo","")&amp;
IF(INT((ROW(D25)-10)/30)+1=4,"RhizoT","")&amp;
IF(INT((ROW(D25)-10)/30)+1=5,"Folia","")&amp;
IF(INT((ROW(D25)-10)/30)+1=6,"Seedle","")&amp;
IF(INT((ROW(D25)-10)/30)+1=7,"Cam","")&amp;
IF(INT((ROW(D25)-10)/30)+1=8,"Scanopy","") &amp; ".xls"))</f>
        <v>☐ XLSTEM.xls</v>
      </c>
      <c r="E25" s="378" t="s">
        <v>299</v>
      </c>
      <c r="F25" s="379" t="s">
        <v>152</v>
      </c>
      <c r="G25" s="378" t="str">
        <f xml:space="preserve"> IF(N("If it is Cam, Do not Show XL")+AND(ROW(G25)&gt;=189,ROW(G25)&lt;=218),"","☐ XL Man")</f>
        <v>☐ XL Man</v>
      </c>
      <c r="H25" s="379" t="s">
        <v>280</v>
      </c>
      <c r="I25" s="307" t="s">
        <v>274</v>
      </c>
      <c r="J25" s="379" t="str">
        <f>IF(N("Si OR dessous = vrai, pas de box")+OR(
N("1 OR Tron ou CELL")+OR(AND(ROW(E25)&gt;=39,ROW(E25)&lt;=68),AND(ROW(E25)&gt;=99,ROW(E25)&lt;=128)),
N("2 Pas de système scanopy and range opy")+AND(ROW(E25)&gt;=219,ROW(E25)&lt;=248,SCANOPY_N_System&lt;2),
N("3 Avec LC") + IF(AND(IF(PROD_MostPopularScanner="LC",1,0), NOT(AND(ROW(E25)&gt;=129,ROW(E25)&lt;=158)), NOT(AND(ROW(E25)&gt;=189,ROW(E25)&lt;=218))),1,0)
),"","☐ ")
&amp;
IF(N("If it's OPY, put OMount Manual instead")+
AND(ROW(D25)&gt;=219,ROW(D25)&lt;=248),
IF(SCANOPY_N_System&gt;1,
IF(SCANOPY_IndexScanner=1,"α" &amp; SCANOPY_CameraModel,SCANOPY_CameraModel_Mini) &amp; " Man",""),
IF(N("Empty si OR = true . . .If it is Cell or Tron, Do not Show Scanner related items + Hide if LC is favorite on unavailable product")+OR(
AND(ROW(E25)&gt;=39,ROW(E25)&lt;=68),
AND(ROW(E25)&gt;=99,ROW(E25)&lt;=128),
AND(IF(PROD_MostPopularScanner="LC",1,0), NOT(AND(ROW(E25)&gt;=129,ROW(E25)&lt;=158)), NOT(AND(ROW(E25)&gt;=189,ROW(E25)&lt;=218))),
0=1),
    "", IF(1=N("Si système a un scanner différent du Scanner populaire alors différent, sinon Scanner populaire")+AND(NOT(ISERROR(SEARCH("System",J24))),LEFT(J24,2)&lt;&gt;LEFT(PROD_MostPopularScanner,2)),
LEFT(J24,SEARCH("00",J24)-3),
PROD_MostPopularScanner) &amp; " Install Man"))</f>
        <v>☐ Scan. Install Man</v>
      </c>
      <c r="K25" s="378" t="str">
        <f>IF(N("If it is Cell or Tron or OPY, Do not Show Twain")+OR(AND(ROW(K25)&gt;=39,ROW(K25)&lt;=68),AND(ROW(K25)&gt;=99,ROW(K25)&lt;=128),AND(ROW(J25)&gt;=219,ROW(J25)&lt;=248)),"","☐ TWAIN")</f>
        <v>☐ TWAIN</v>
      </c>
      <c r="L25" s="379" t="str">
        <f>IF(AND(IF(PROD_MostPopularScanner="LC",1,0), NOT(AND(ROW(E25)&gt;=129,ROW(E25)&lt;=158)), NOT(AND(ROW(E25)&gt;=189,ROW(E25)&lt;=218))),"",
IF(N("Si OR dessous = vrai, pas de box")+OR(
N("1 OR Dendro+CELL, Tron+Folia,Cam")+OR(
AND(ROW(K25)&gt;=9,ROW(K25)&lt;=68),
AND(ROW(K25)&gt;=99,ROW(K25)&lt;=158),
AND(ROW(K25)&gt;=189,ROW(K25)&lt;=218)),
N("2 Pas de système scanopy and range opy")+AND(ROW(K25)&gt;=219,ROW(K25)&lt;=248,SCANOPY_N_System&lt;2),
N("3 Avec LC")&amp;IF(ISERROR(LEFT(J24,SEARCH("00",J24)-3)),"",LEFT(J24,SEARCH("00",J24)-3))="LC"),"","☐ ")
&amp;
IF(N("If it's OPY, put OMount Manual instead")+
AND(ROW(J25)&gt;=219,ROW(J25)&lt;=248),
IF(SCANOPY_N_System&gt;1,"OMount Man",""),
IF(N("If it is Dendro+CELL, Tron+Folia or Cam, Do not Show Scanner related items+No Video if LC")+OR(
AND(ROW(K25)&gt;=9,ROW(K25)&lt;=68),
AND(ROW(K25)&gt;=99,ROW(K25)&lt;=158),
AND(ROW(K25)&gt;=189,ROW(K25)&lt;=218),
IF(ISERROR(LEFT(J24,SEARCH("00",J24)-3)),"",LEFT(J24,SEARCH("00",J24)-3))="LC"),
    "", "Video " &amp; IF(1=N("Si système a un scanner différent du Scanner populaire alors différent, sinon Scanner populaire")+AND(NOT(ISERROR(SEARCH("System",J24))),LEFT(J24,2)&lt;&gt;LEFT(PROD_MostPopularScanner,2)),
LEFT(J24,SEARCH("00",J24)-3),
PROD_MostPopularScanner) &amp; " Install"))
)</f>
        <v/>
      </c>
      <c r="M25" s="378" t="str">
        <f>IF(N("If it is Dendro or Tron, Do not Show Color Analysis Video")+
OR(AND(ROW(L25)&gt;=9,ROW(L25)&lt;=38),
AND(ROW(L25)&gt;=99,ROW(L25)&lt;=128)), "","☐ Video ClrAna")</f>
        <v/>
      </c>
      <c r="N25" s="379" t="str">
        <f>IF(OR(INT((ROW(D25)-10)/30)+1=2,INT((ROW(D25)-10)/30)+1=4),"","☐ ")&amp;
IF(INT((ROW(D25)-10)/30)+1=1,"Scanner.cal","")&amp;
IF(INT((ROW(D25)-10)/30)+1=2,"","")&amp;
IF(INT((ROW(D25)-10)/30)+1=3,"Scanner.cal","")&amp;
IF(INT((ROW(D25)-10)/30)+1=4,"","")&amp;
IF(INT((ROW(D25)-10)/30)+1=5,"Scanner.cal","")&amp;
IF(INT((ROW(D25)-10)/30)+1=6,"Scanner.cal","")&amp;
IF(INT((ROW(D25)-10)/30)+1=7,"Scanner.cal","")&amp;
IF(INT((ROW(D25)-10)/30)+1=8,"Indiv" &amp; " Lens.cal","")</f>
        <v>☐ Scanner.cal</v>
      </c>
      <c r="O25" s="307" t="str">
        <f>IF(AND(ROW(L25)&gt;=9,ROW(L25)&lt;=38),"☐ RegentTarget.blu","")</f>
        <v>☐ RegentTarget.blu</v>
      </c>
      <c r="P25" s="215"/>
      <c r="Q25" s="215"/>
    </row>
    <row r="26" spans="1:17" ht="24" customHeight="1" x14ac:dyDescent="0.2">
      <c r="A26" s="427" t="s">
        <v>259</v>
      </c>
      <c r="B26" s="224" t="s">
        <v>259</v>
      </c>
      <c r="C26" s="307" t="s">
        <v>152</v>
      </c>
      <c r="D26" s="307" t="str">
        <f xml:space="preserve"> IF(N("If it is Cam, Do not Show XL")+AND(ROW(D26)&gt;=189,ROW(D26)&lt;=218),"","☐ XL Man")</f>
        <v>☐ XL Man</v>
      </c>
      <c r="E26" s="437" t="str">
        <f>IF(N("Si OR dessous = vrai, pas de box")+OR(
N("1 OR Tron ou CELL")+OR(AND(ROW(K25)&gt;=39,ROW(K25)&lt;=68),AND(ROW(K25)&gt;=99,ROW(K25)&lt;=128)),
N("2 Pas de système scanopy and range opy")+AND(ROW(K25)&gt;=219,ROW(K25)&lt;=248,SCANOPY_N_System&lt;2),
N("3 Avec LC")&amp;IF(ISERROR(LEFT(J24,SEARCH("00",J24)-3)),"",LEFT(J24,SEARCH("00",J24)-3))="LC"),"","☐ ")
&amp;
IF(N("If it's OPY, put OMount Manual instead")+
AND(ROW(J25)&gt;=219,ROW(J25)&lt;=248),
IF(SCANOPY_N_System&gt;1,"OMount Man",""),
IF(N("If it is Cell or Tron, Do not Show Scanner related items")+OR(
AND(ROW(K25)&gt;=39,ROW(K25)&lt;=68),
AND(ROW(K25)&gt;=99,ROW(K25)&lt;=128)),
    "", IF(1=N("Si système a un scanner différent du Scanner populaire alors différent, sinon Scanner populaire")+AND(NOT(ISERROR(SEARCH("System",J24))),LEFT(J24,2)&lt;&gt;LEFT(PROD_MostPopularScanner,2)),
LEFT(J24,SEARCH("00",J24)-3),
PROD_MostPopularScanner) &amp; " Install Man"))</f>
        <v>☐ Scan. Install Man</v>
      </c>
      <c r="F26" s="380" t="s">
        <v>275</v>
      </c>
      <c r="G26" s="307" t="s">
        <v>274</v>
      </c>
      <c r="H26" s="439" t="s">
        <v>250</v>
      </c>
      <c r="I26" s="381"/>
      <c r="J26" s="307" t="str">
        <f ca="1">IF(AND(
INDIRECT(
IF(INT((ROW(D26)-10)/30)+1=1,"DENDRO","")&amp;
IF(INT((ROW(D26)-10)/30)+1=2,"CELL","")&amp;
IF(INT((ROW(D26)-10)/30)+1=3,"RHIZO","")&amp;
IF(INT((ROW(D26)-10)/30)+1=4,"RHIZOTRON","")&amp;
IF(INT((ROW(D26)-10)/30)+1=5,"FOLIA","")&amp;
IF(INT((ROW(D26)-10)/30)+1=6,"SEEDLE","")&amp;
IF(INT((ROW(D26)-10)/30)+1=7,"CAM","")&amp;
IF(INT((ROW(D26)-10)/30)+1=8,"SCANOPY","") &amp; "_ChkB_RemoteUpdate"),
INDIRECT(
IF(INT((ROW(D26)-10)/30)+1=1,"DENDRO","")&amp;
IF(INT((ROW(D26)-10)/30)+1=2,"CELL","")&amp;
IF(INT((ROW(D26)-10)/30)+1=3,"RHIZO","")&amp;
IF(INT((ROW(D26)-10)/30)+1=4,"RHIZOTRON","")&amp;
IF(INT((ROW(D26)-10)/30)+1=5,"FOLIA","")&amp;
IF(INT((ROW(D26)-10)/30)+1=6,"SEEDLE","")&amp;
IF(INT((ROW(D26)-10)/30)+1=7,"CAM","")&amp;
IF(INT((ROW(D26)-10)/30)+1=8,"SCANOPY","") &amp; "_ChkBox_UpgradeUpdate")),
"Clé de bois ou Download. Reprogrammation clé client",
"☐ " &amp; IF(AND(QUOTE_Split_SoftwareHardware,QUOTE_InternetDownload),"Man ds env. ""Documents"", Clé ds bulle collée sur env.","Reliée au Man"))</f>
        <v>☐ Reliée au Man</v>
      </c>
      <c r="K26" s="265"/>
      <c r="L26" s="223"/>
      <c r="M26" s="439"/>
      <c r="N26" s="380"/>
      <c r="O26" s="307"/>
      <c r="P26" s="215"/>
      <c r="Q26" s="215"/>
    </row>
    <row r="27" spans="1:17" ht="16.25" customHeight="1" x14ac:dyDescent="0.2">
      <c r="A27" s="415"/>
      <c r="B27" s="290"/>
      <c r="C27" s="905" t="str">
        <f>IF((DENDRO_N_UpgradeUpdate + DENDRO_N_Software ) = 2,"",LEFT(INDEX(DENDRO_SoftwareFullNames,DENDRO_IndexSoftware),FIND(" ",INDEX(DENDRO_SoftwareFullNames,DENDRO_IndexSoftware),FIND(" ",INDEX(DENDRO_SoftwareFullNames,DENDRO_IndexSoftware))+1)) &amp;
DENDRO_YearMostRecent )</f>
        <v/>
      </c>
      <c r="D27" s="905"/>
      <c r="E27" s="374"/>
      <c r="F27" s="298"/>
      <c r="G27" s="269" t="str">
        <f>IF(DENDRO_OptionXL*(DENDRO_N_Software+DENDRO_N_UpgradeUpdate-2)&gt;=((ROW(G27)-ROW($G$9))/4+1),"XLSTEM "&amp; DENDRO_YearMostRecent,"")</f>
        <v/>
      </c>
      <c r="H27" s="226"/>
      <c r="I27" s="226"/>
      <c r="J27" s="269" t="str">
        <f>IF(DENDRO_N_System-1&gt;=((ROW(G27)-ROW($G$9))/4+1),IF(DENDRO_IndexScanner=1,"STD4800","LA2400") &amp; " System"&amp; IF(AND(DENDRO_ClientWithOrWithoutScanner=2,DENDRO_N_System&gt;1)," Sans Scanner"," Avec Scanner"),
IF(AND(DENDRO_N_Software&gt;DENDRO_N_System,DENDRO_N_Software-1&gt;=((ROW(G27)-ROW($G$9))/4+1)),IF(N_SystemTotal=0,"Software Only",IF(N_STDScanners+N_LAScanners+N_LCScanners=0,"Software Sans Scanner","Software Avec Scanner")),
IF(DENDRO_N_UpgradeUpdate-1&gt;=((ROW(G27)-ROW($G$9))/4+1)-(MAX(DENDRO_N_System,DENDRO_N_Software)-1),"Update","")))</f>
        <v/>
      </c>
      <c r="K27" s="226"/>
      <c r="L27" s="219"/>
      <c r="M27" s="220"/>
      <c r="N27" s="219"/>
      <c r="O27" s="377"/>
      <c r="P27" s="215"/>
      <c r="Q27" s="215"/>
    </row>
    <row r="28" spans="1:17" ht="24" customHeight="1" x14ac:dyDescent="0.2">
      <c r="A28" s="427" t="s">
        <v>258</v>
      </c>
      <c r="B28" s="287" t="s">
        <v>258</v>
      </c>
      <c r="C28" s="378" t="str">
        <f>IF(AND(QUOTE_Split_SoftwareHardware,QUOTE_InternetDownload),"",
"☐☐ Win" &amp;
IF(INT((ROW(D28)-10)/30)+1=1,"DEN","")&amp;
IF(INT((ROW(D28)-10)/30)+1=2,"CEL","")&amp;
IF(INT((ROW(D28)-10)/30)+1=3,"RHI","")&amp;
IF(INT((ROW(D28)-10)/30)+1=4,"RT","")&amp;
IF(INT((ROW(D28)-10)/30)+1=5,"FOL","")&amp;
IF(INT((ROW(D28)-10)/30)+1=6,"SEE","")&amp;
IF(INT((ROW(D28)-10)/30)+1=7,"CAM","")&amp;
IF(INT((ROW(D28)-10)/30)+1=8,"SCA","") &amp; ".exe")</f>
        <v>☐☐ WinDEN.exe</v>
      </c>
      <c r="D28" s="378" t="str">
        <f>IF(AND(QUOTE_Split_SoftwareHardware,QUOTE_InternetDownload),"",
 IF(N("If it is Cam, Do not Show XL")+AND(ROW(D28)&gt;=189,ROW(D28)&lt;=218),"","☐ XL" &amp;
IF(INT((ROW(D28)-10)/30)+1=1,"STEM","")&amp;
IF(INT((ROW(D28)-10)/30)+1=2,"Cell","")&amp;
IF(INT((ROW(D28)-10)/30)+1=3,"Rhizo","")&amp;
IF(INT((ROW(D28)-10)/30)+1=4,"RhizoT","")&amp;
IF(INT((ROW(D28)-10)/30)+1=5,"Folia","")&amp;
IF(INT((ROW(D28)-10)/30)+1=6,"Seedle","")&amp;
IF(INT((ROW(D28)-10)/30)+1=7,"Cam","")&amp;
IF(INT((ROW(D28)-10)/30)+1=8,"Scanopy","") &amp; ".xls"))</f>
        <v>☐ XLSTEM.xls</v>
      </c>
      <c r="E28" s="378" t="s">
        <v>299</v>
      </c>
      <c r="F28" s="379" t="s">
        <v>152</v>
      </c>
      <c r="G28" s="378" t="str">
        <f xml:space="preserve"> IF(N("If it is Cam, Do not Show XL")+AND(ROW(G28)&gt;=189,ROW(G28)&lt;=218),"","☐ XL Man")</f>
        <v>☐ XL Man</v>
      </c>
      <c r="H28" s="379" t="s">
        <v>280</v>
      </c>
      <c r="I28" s="307" t="s">
        <v>274</v>
      </c>
      <c r="J28" s="379" t="str">
        <f>IF(N("Si OR dessous = vrai, pas de box")+OR(
N("1 OR Tron ou CELL")+OR(AND(ROW(E28)&gt;=39,ROW(E28)&lt;=68),AND(ROW(E28)&gt;=99,ROW(E28)&lt;=128)),
N("2 Pas de système scanopy and range opy")+AND(ROW(E28)&gt;=219,ROW(E28)&lt;=248,SCANOPY_N_System&lt;2),
N("3 Avec LC") + IF(AND(IF(PROD_MostPopularScanner="LC",1,0), NOT(AND(ROW(E28)&gt;=129,ROW(E28)&lt;=158)), NOT(AND(ROW(E28)&gt;=189,ROW(E28)&lt;=218))),1,0)
),"","☐ ")
&amp;
IF(N("If it's OPY, put OMount Manual instead")+
AND(ROW(D28)&gt;=219,ROW(D28)&lt;=248),
IF(SCANOPY_N_System&gt;1,
IF(SCANOPY_IndexScanner=1,"α" &amp; SCANOPY_CameraModel,SCANOPY_CameraModel_Mini) &amp; " Man",""),
IF(N("Empty si OR = true . . .If it is Cell or Tron, Do not Show Scanner related items + Hide if LC is favorite on unavailable product")+OR(
AND(ROW(E28)&gt;=39,ROW(E28)&lt;=68),
AND(ROW(E28)&gt;=99,ROW(E28)&lt;=128),
AND(IF(PROD_MostPopularScanner="LC",1,0), NOT(AND(ROW(E28)&gt;=129,ROW(E28)&lt;=158)), NOT(AND(ROW(E28)&gt;=189,ROW(E28)&lt;=218))),
0=1),
    "", IF(1=N("Si système a un scanner différent du Scanner populaire alors différent, sinon Scanner populaire")+AND(NOT(ISERROR(SEARCH("System",J27))),LEFT(J27,2)&lt;&gt;LEFT(PROD_MostPopularScanner,2)),
LEFT(J27,SEARCH("00",J27)-3),
PROD_MostPopularScanner) &amp; " Install Man"))</f>
        <v>☐ Scan. Install Man</v>
      </c>
      <c r="K28" s="378" t="str">
        <f>IF(N("If it is Cell or Tron or OPY, Do not Show Twain")+OR(AND(ROW(K28)&gt;=39,ROW(K28)&lt;=68),AND(ROW(K28)&gt;=99,ROW(K28)&lt;=128),AND(ROW(J28)&gt;=219,ROW(J28)&lt;=248)),"","☐ TWAIN")</f>
        <v>☐ TWAIN</v>
      </c>
      <c r="L28" s="379" t="str">
        <f>IF(AND(IF(PROD_MostPopularScanner="LC",1,0), NOT(AND(ROW(E28)&gt;=129,ROW(E28)&lt;=158)), NOT(AND(ROW(E28)&gt;=189,ROW(E28)&lt;=218))),"",
IF(N("Si OR dessous = vrai, pas de box")+OR(
N("1 OR Dendro+CELL, Tron+Folia,Cam")+OR(
AND(ROW(K28)&gt;=9,ROW(K28)&lt;=68),
AND(ROW(K28)&gt;=99,ROW(K28)&lt;=158),
AND(ROW(K28)&gt;=189,ROW(K28)&lt;=218)),
N("2 Pas de système scanopy and range opy")+AND(ROW(K28)&gt;=219,ROW(K28)&lt;=248,SCANOPY_N_System&lt;2),
N("3 Avec LC")&amp;IF(ISERROR(LEFT(J27,SEARCH("00",J27)-3)),"",LEFT(J27,SEARCH("00",J27)-3))="LC"),"","☐ ")
&amp;
IF(N("If it's OPY, put OMount Manual instead")+
AND(ROW(J28)&gt;=219,ROW(J28)&lt;=248),
IF(SCANOPY_N_System&gt;1,"OMount Man",""),
IF(N("If it is Dendro+CELL, Tron+Folia or Cam, Do not Show Scanner related items+No Video if LC")+OR(
AND(ROW(K28)&gt;=9,ROW(K28)&lt;=68),
AND(ROW(K28)&gt;=99,ROW(K28)&lt;=158),
AND(ROW(K28)&gt;=189,ROW(K28)&lt;=218),
IF(ISERROR(LEFT(J27,SEARCH("00",J27)-3)),"",LEFT(J27,SEARCH("00",J27)-3))="LC"),
    "", "Video " &amp; IF(1=N("Si système a un scanner différent du Scanner populaire alors différent, sinon Scanner populaire")+AND(NOT(ISERROR(SEARCH("System",J27))),LEFT(J27,2)&lt;&gt;LEFT(PROD_MostPopularScanner,2)),
LEFT(J27,SEARCH("00",J27)-3),
PROD_MostPopularScanner) &amp; " Install"))
)</f>
        <v/>
      </c>
      <c r="M28" s="378" t="str">
        <f>IF(N("If it is Dendro or Tron, Do not Show Color Analysis Video")+
OR(AND(ROW(L28)&gt;=9,ROW(L28)&lt;=38),
AND(ROW(L28)&gt;=99,ROW(L28)&lt;=128)), "","☐ Video ClrAna")</f>
        <v/>
      </c>
      <c r="N28" s="379" t="str">
        <f>IF(OR(INT((ROW(D28)-10)/30)+1=2,INT((ROW(D28)-10)/30)+1=4),"","☐ ")&amp;
IF(INT((ROW(D28)-10)/30)+1=1,"Scanner.cal","")&amp;
IF(INT((ROW(D28)-10)/30)+1=2,"","")&amp;
IF(INT((ROW(D28)-10)/30)+1=3,"Scanner.cal","")&amp;
IF(INT((ROW(D28)-10)/30)+1=4,"","")&amp;
IF(INT((ROW(D28)-10)/30)+1=5,"Scanner.cal","")&amp;
IF(INT((ROW(D28)-10)/30)+1=6,"Scanner.cal","")&amp;
IF(INT((ROW(D28)-10)/30)+1=7,"Scanner.cal","")&amp;
IF(INT((ROW(D28)-10)/30)+1=8,"Indiv" &amp; " Lens.cal","")</f>
        <v>☐ Scanner.cal</v>
      </c>
      <c r="O28" s="307" t="str">
        <f>IF(AND(ROW(L28)&gt;=9,ROW(L28)&lt;=38),"☐ RegentTarget.blu","")</f>
        <v>☐ RegentTarget.blu</v>
      </c>
      <c r="P28" s="215"/>
      <c r="Q28" s="215"/>
    </row>
    <row r="29" spans="1:17" ht="24" customHeight="1" x14ac:dyDescent="0.2">
      <c r="A29" s="427" t="s">
        <v>259</v>
      </c>
      <c r="B29" s="224" t="s">
        <v>259</v>
      </c>
      <c r="C29" s="307" t="s">
        <v>152</v>
      </c>
      <c r="D29" s="307" t="str">
        <f xml:space="preserve"> IF(N("If it is Cam, Do not Show XL")+AND(ROW(D29)&gt;=189,ROW(D29)&lt;=218),"","☐ XL Man")</f>
        <v>☐ XL Man</v>
      </c>
      <c r="E29" s="437" t="str">
        <f>IF(N("Si OR dessous = vrai, pas de box")+OR(
N("1 OR Tron ou CELL")+OR(AND(ROW(K28)&gt;=39,ROW(K28)&lt;=68),AND(ROW(K28)&gt;=99,ROW(K28)&lt;=128)),
N("2 Pas de système scanopy and range opy")+AND(ROW(K28)&gt;=219,ROW(K28)&lt;=248,SCANOPY_N_System&lt;2),
N("3 Avec LC")&amp;IF(ISERROR(LEFT(J27,SEARCH("00",J27)-3)),"",LEFT(J27,SEARCH("00",J27)-3))="LC"),"","☐ ")
&amp;
IF(N("If it's OPY, put OMount Manual instead")+
AND(ROW(J28)&gt;=219,ROW(J28)&lt;=248),
IF(SCANOPY_N_System&gt;1,"OMount Man",""),
IF(N("If it is Cell or Tron, Do not Show Scanner related items")+OR(
AND(ROW(K28)&gt;=39,ROW(K28)&lt;=68),
AND(ROW(K28)&gt;=99,ROW(K28)&lt;=128)),
    "", IF(1=N("Si système a un scanner différent du Scanner populaire alors différent, sinon Scanner populaire")+AND(NOT(ISERROR(SEARCH("System",J27))),LEFT(J27,2)&lt;&gt;LEFT(PROD_MostPopularScanner,2)),
LEFT(J27,SEARCH("00",J27)-3),
PROD_MostPopularScanner) &amp; " Install Man"))</f>
        <v>☐ Scan. Install Man</v>
      </c>
      <c r="F29" s="380" t="s">
        <v>275</v>
      </c>
      <c r="G29" s="307" t="s">
        <v>274</v>
      </c>
      <c r="H29" s="439" t="s">
        <v>250</v>
      </c>
      <c r="I29" s="381"/>
      <c r="J29" s="307" t="str">
        <f ca="1">IF(AND(
INDIRECT(
IF(INT((ROW(D29)-10)/30)+1=1,"DENDRO","")&amp;
IF(INT((ROW(D29)-10)/30)+1=2,"CELL","")&amp;
IF(INT((ROW(D29)-10)/30)+1=3,"RHIZO","")&amp;
IF(INT((ROW(D29)-10)/30)+1=4,"RHIZOTRON","")&amp;
IF(INT((ROW(D29)-10)/30)+1=5,"FOLIA","")&amp;
IF(INT((ROW(D29)-10)/30)+1=6,"SEEDLE","")&amp;
IF(INT((ROW(D29)-10)/30)+1=7,"CAM","")&amp;
IF(INT((ROW(D29)-10)/30)+1=8,"SCANOPY","") &amp; "_ChkB_RemoteUpdate"),
INDIRECT(
IF(INT((ROW(D29)-10)/30)+1=1,"DENDRO","")&amp;
IF(INT((ROW(D29)-10)/30)+1=2,"CELL","")&amp;
IF(INT((ROW(D29)-10)/30)+1=3,"RHIZO","")&amp;
IF(INT((ROW(D29)-10)/30)+1=4,"RHIZOTRON","")&amp;
IF(INT((ROW(D29)-10)/30)+1=5,"FOLIA","")&amp;
IF(INT((ROW(D29)-10)/30)+1=6,"SEEDLE","")&amp;
IF(INT((ROW(D29)-10)/30)+1=7,"CAM","")&amp;
IF(INT((ROW(D29)-10)/30)+1=8,"SCANOPY","") &amp; "_ChkBox_UpgradeUpdate")),
"Clé de bois ou Download. Reprogrammation clé client",
"☐ " &amp; IF(AND(QUOTE_Split_SoftwareHardware,QUOTE_InternetDownload),"Man ds env. ""Documents"", Clé ds bulle collée sur env.","Reliée au Man"))</f>
        <v>☐ Reliée au Man</v>
      </c>
      <c r="K29" s="265"/>
      <c r="L29" s="223"/>
      <c r="M29" s="439"/>
      <c r="N29" s="380"/>
      <c r="O29" s="307"/>
      <c r="P29" s="215"/>
      <c r="Q29" s="215"/>
    </row>
    <row r="30" spans="1:17" ht="16.25" customHeight="1" x14ac:dyDescent="0.2">
      <c r="A30" s="415"/>
      <c r="B30" s="290"/>
      <c r="C30" s="905" t="str">
        <f>IF((DENDRO_N_UpgradeUpdate + DENDRO_N_Software ) = 2,"",LEFT(INDEX(DENDRO_SoftwareFullNames,DENDRO_IndexSoftware),FIND(" ",INDEX(DENDRO_SoftwareFullNames,DENDRO_IndexSoftware),FIND(" ",INDEX(DENDRO_SoftwareFullNames,DENDRO_IndexSoftware))+1)) &amp;
DENDRO_YearMostRecent )</f>
        <v/>
      </c>
      <c r="D30" s="905"/>
      <c r="E30" s="374"/>
      <c r="F30" s="298"/>
      <c r="G30" s="269" t="str">
        <f>IF(DENDRO_OptionXL*(DENDRO_N_Software+DENDRO_N_UpgradeUpdate-2)&gt;=((ROW(G30)-ROW($G$9))/4+1),"XLSTEM "&amp; DENDRO_YearMostRecent,"")</f>
        <v/>
      </c>
      <c r="H30" s="226"/>
      <c r="I30" s="226"/>
      <c r="J30" s="269" t="str">
        <f>IF(DENDRO_N_System-1&gt;=((ROW(G30)-ROW($G$9))/4+1),IF(DENDRO_IndexScanner=1,"STD4800","LA2400") &amp; " System"&amp; IF(AND(DENDRO_ClientWithOrWithoutScanner=2,DENDRO_N_System&gt;1)," Sans Scanner"," Avec Scanner"),
IF(AND(DENDRO_N_Software&gt;DENDRO_N_System,DENDRO_N_Software-1&gt;=((ROW(G30)-ROW($G$9))/4+1)),IF(N_SystemTotal=0,"Software Only",IF(N_STDScanners+N_LAScanners+N_LCScanners=0,"Software Sans Scanner","Software Avec Scanner")),
IF(DENDRO_N_UpgradeUpdate-1&gt;=((ROW(G30)-ROW($G$9))/4+1)-(MAX(DENDRO_N_System,DENDRO_N_Software)-1),"Update","")))</f>
        <v/>
      </c>
      <c r="K30" s="226"/>
      <c r="L30" s="219"/>
      <c r="M30" s="220"/>
      <c r="N30" s="219"/>
      <c r="O30" s="377"/>
      <c r="P30" s="215"/>
      <c r="Q30" s="215"/>
    </row>
    <row r="31" spans="1:17" ht="24" customHeight="1" x14ac:dyDescent="0.2">
      <c r="A31" s="427" t="s">
        <v>258</v>
      </c>
      <c r="B31" s="287" t="s">
        <v>258</v>
      </c>
      <c r="C31" s="378" t="str">
        <f>IF(AND(QUOTE_Split_SoftwareHardware,QUOTE_InternetDownload),"",
"☐☐ Win" &amp;
IF(INT((ROW(D31)-10)/30)+1=1,"DEN","")&amp;
IF(INT((ROW(D31)-10)/30)+1=2,"CEL","")&amp;
IF(INT((ROW(D31)-10)/30)+1=3,"RHI","")&amp;
IF(INT((ROW(D31)-10)/30)+1=4,"RT","")&amp;
IF(INT((ROW(D31)-10)/30)+1=5,"FOL","")&amp;
IF(INT((ROW(D31)-10)/30)+1=6,"SEE","")&amp;
IF(INT((ROW(D31)-10)/30)+1=7,"CAM","")&amp;
IF(INT((ROW(D31)-10)/30)+1=8,"SCA","") &amp; ".exe")</f>
        <v>☐☐ WinDEN.exe</v>
      </c>
      <c r="D31" s="378" t="str">
        <f>IF(AND(QUOTE_Split_SoftwareHardware,QUOTE_InternetDownload),"",
 IF(N("If it is Cam, Do not Show XL")+AND(ROW(D31)&gt;=189,ROW(D31)&lt;=218),"","☐ XL" &amp;
IF(INT((ROW(D31)-10)/30)+1=1,"STEM","")&amp;
IF(INT((ROW(D31)-10)/30)+1=2,"Cell","")&amp;
IF(INT((ROW(D31)-10)/30)+1=3,"Rhizo","")&amp;
IF(INT((ROW(D31)-10)/30)+1=4,"RhizoT","")&amp;
IF(INT((ROW(D31)-10)/30)+1=5,"Folia","")&amp;
IF(INT((ROW(D31)-10)/30)+1=6,"Seedle","")&amp;
IF(INT((ROW(D31)-10)/30)+1=7,"Cam","")&amp;
IF(INT((ROW(D31)-10)/30)+1=8,"Scanopy","") &amp; ".xls"))</f>
        <v>☐ XLSTEM.xls</v>
      </c>
      <c r="E31" s="378" t="s">
        <v>299</v>
      </c>
      <c r="F31" s="379" t="s">
        <v>152</v>
      </c>
      <c r="G31" s="378" t="str">
        <f xml:space="preserve"> IF(N("If it is Cam, Do not Show XL")+AND(ROW(G31)&gt;=189,ROW(G31)&lt;=218),"","☐ XL Man")</f>
        <v>☐ XL Man</v>
      </c>
      <c r="H31" s="379" t="s">
        <v>280</v>
      </c>
      <c r="I31" s="307" t="s">
        <v>274</v>
      </c>
      <c r="J31" s="379" t="str">
        <f>IF(N("Si OR dessous = vrai, pas de box")+OR(
N("1 OR Tron ou CELL")+OR(AND(ROW(E31)&gt;=39,ROW(E31)&lt;=68),AND(ROW(E31)&gt;=99,ROW(E31)&lt;=128)),
N("2 Pas de système scanopy and range opy")+AND(ROW(E31)&gt;=219,ROW(E31)&lt;=248,SCANOPY_N_System&lt;2),
N("3 Avec LC") + IF(AND(IF(PROD_MostPopularScanner="LC",1,0), NOT(AND(ROW(E31)&gt;=129,ROW(E31)&lt;=158)), NOT(AND(ROW(E31)&gt;=189,ROW(E31)&lt;=218))),1,0)
),"","☐ ")
&amp;
IF(N("If it's OPY, put OMount Manual instead")+
AND(ROW(D31)&gt;=219,ROW(D31)&lt;=248),
IF(SCANOPY_N_System&gt;1,
IF(SCANOPY_IndexScanner=1,"α" &amp; SCANOPY_CameraModel,SCANOPY_CameraModel_Mini) &amp; " Man",""),
IF(N("Empty si OR = true . . .If it is Cell or Tron, Do not Show Scanner related items + Hide if LC is favorite on unavailable product")+OR(
AND(ROW(E31)&gt;=39,ROW(E31)&lt;=68),
AND(ROW(E31)&gt;=99,ROW(E31)&lt;=128),
AND(IF(PROD_MostPopularScanner="LC",1,0), NOT(AND(ROW(E31)&gt;=129,ROW(E31)&lt;=158)), NOT(AND(ROW(E31)&gt;=189,ROW(E31)&lt;=218))),
0=1),
    "", IF(1=N("Si système a un scanner différent du Scanner populaire alors différent, sinon Scanner populaire")+AND(NOT(ISERROR(SEARCH("System",J30))),LEFT(J30,2)&lt;&gt;LEFT(PROD_MostPopularScanner,2)),
LEFT(J30,SEARCH("00",J30)-3),
PROD_MostPopularScanner) &amp; " Install Man"))</f>
        <v>☐ Scan. Install Man</v>
      </c>
      <c r="K31" s="378" t="str">
        <f>IF(N("If it is Cell or Tron or OPY, Do not Show Twain")+OR(AND(ROW(K31)&gt;=39,ROW(K31)&lt;=68),AND(ROW(K31)&gt;=99,ROW(K31)&lt;=128),AND(ROW(J31)&gt;=219,ROW(J31)&lt;=248)),"","☐ TWAIN")</f>
        <v>☐ TWAIN</v>
      </c>
      <c r="L31" s="379" t="str">
        <f>IF(AND(IF(PROD_MostPopularScanner="LC",1,0), NOT(AND(ROW(E31)&gt;=129,ROW(E31)&lt;=158)), NOT(AND(ROW(E31)&gt;=189,ROW(E31)&lt;=218))),"",
IF(N("Si OR dessous = vrai, pas de box")+OR(
N("1 OR Dendro+CELL, Tron+Folia,Cam")+OR(
AND(ROW(K31)&gt;=9,ROW(K31)&lt;=68),
AND(ROW(K31)&gt;=99,ROW(K31)&lt;=158),
AND(ROW(K31)&gt;=189,ROW(K31)&lt;=218)),
N("2 Pas de système scanopy and range opy")+AND(ROW(K31)&gt;=219,ROW(K31)&lt;=248,SCANOPY_N_System&lt;2),
N("3 Avec LC")&amp;IF(ISERROR(LEFT(J30,SEARCH("00",J30)-3)),"",LEFT(J30,SEARCH("00",J30)-3))="LC"),"","☐ ")
&amp;
IF(N("If it's OPY, put OMount Manual instead")+
AND(ROW(J31)&gt;=219,ROW(J31)&lt;=248),
IF(SCANOPY_N_System&gt;1,"OMount Man",""),
IF(N("If it is Dendro+CELL, Tron+Folia or Cam, Do not Show Scanner related items+No Video if LC")+OR(
AND(ROW(K31)&gt;=9,ROW(K31)&lt;=68),
AND(ROW(K31)&gt;=99,ROW(K31)&lt;=158),
AND(ROW(K31)&gt;=189,ROW(K31)&lt;=218),
IF(ISERROR(LEFT(J30,SEARCH("00",J30)-3)),"",LEFT(J30,SEARCH("00",J30)-3))="LC"),
    "", "Video " &amp; IF(1=N("Si système a un scanner différent du Scanner populaire alors différent, sinon Scanner populaire")+AND(NOT(ISERROR(SEARCH("System",J30))),LEFT(J30,2)&lt;&gt;LEFT(PROD_MostPopularScanner,2)),
LEFT(J30,SEARCH("00",J30)-3),
PROD_MostPopularScanner) &amp; " Install"))
)</f>
        <v/>
      </c>
      <c r="M31" s="378" t="str">
        <f>IF(N("If it is Dendro or Tron, Do not Show Color Analysis Video")+
OR(AND(ROW(L31)&gt;=9,ROW(L31)&lt;=38),
AND(ROW(L31)&gt;=99,ROW(L31)&lt;=128)), "","☐ Video ClrAna")</f>
        <v/>
      </c>
      <c r="N31" s="379" t="str">
        <f>IF(OR(INT((ROW(D31)-10)/30)+1=2,INT((ROW(D31)-10)/30)+1=4),"","☐ ")&amp;
IF(INT((ROW(D31)-10)/30)+1=1,"Scanner.cal","")&amp;
IF(INT((ROW(D31)-10)/30)+1=2,"","")&amp;
IF(INT((ROW(D31)-10)/30)+1=3,"Scanner.cal","")&amp;
IF(INT((ROW(D31)-10)/30)+1=4,"","")&amp;
IF(INT((ROW(D31)-10)/30)+1=5,"Scanner.cal","")&amp;
IF(INT((ROW(D31)-10)/30)+1=6,"Scanner.cal","")&amp;
IF(INT((ROW(D31)-10)/30)+1=7,"Scanner.cal","")&amp;
IF(INT((ROW(D31)-10)/30)+1=8,"Indiv" &amp; " Lens.cal","")</f>
        <v>☐ Scanner.cal</v>
      </c>
      <c r="O31" s="307" t="str">
        <f>IF(AND(ROW(L31)&gt;=9,ROW(L31)&lt;=38),"☐ RegentTarget.blu","")</f>
        <v>☐ RegentTarget.blu</v>
      </c>
      <c r="P31" s="215"/>
      <c r="Q31" s="215"/>
    </row>
    <row r="32" spans="1:17" ht="24" customHeight="1" x14ac:dyDescent="0.2">
      <c r="A32" s="427" t="s">
        <v>259</v>
      </c>
      <c r="B32" s="224" t="s">
        <v>259</v>
      </c>
      <c r="C32" s="307" t="s">
        <v>152</v>
      </c>
      <c r="D32" s="307" t="str">
        <f xml:space="preserve"> IF(N("If it is Cam, Do not Show XL")+AND(ROW(D32)&gt;=189,ROW(D32)&lt;=218),"","☐ XL Man")</f>
        <v>☐ XL Man</v>
      </c>
      <c r="E32" s="437" t="str">
        <f>IF(N("Si OR dessous = vrai, pas de box")+OR(
N("1 OR Tron ou CELL")+OR(AND(ROW(K31)&gt;=39,ROW(K31)&lt;=68),AND(ROW(K31)&gt;=99,ROW(K31)&lt;=128)),
N("2 Pas de système scanopy and range opy")+AND(ROW(K31)&gt;=219,ROW(K31)&lt;=248,SCANOPY_N_System&lt;2),
N("3 Avec LC")&amp;IF(ISERROR(LEFT(J30,SEARCH("00",J30)-3)),"",LEFT(J30,SEARCH("00",J30)-3))="LC"),"","☐ ")
&amp;
IF(N("If it's OPY, put OMount Manual instead")+
AND(ROW(J31)&gt;=219,ROW(J31)&lt;=248),
IF(SCANOPY_N_System&gt;1,"OMount Man",""),
IF(N("If it is Cell or Tron, Do not Show Scanner related items")+OR(
AND(ROW(K31)&gt;=39,ROW(K31)&lt;=68),
AND(ROW(K31)&gt;=99,ROW(K31)&lt;=128)),
    "", IF(1=N("Si système a un scanner différent du Scanner populaire alors différent, sinon Scanner populaire")+AND(NOT(ISERROR(SEARCH("System",J30))),LEFT(J30,2)&lt;&gt;LEFT(PROD_MostPopularScanner,2)),
LEFT(J30,SEARCH("00",J30)-3),
PROD_MostPopularScanner) &amp; " Install Man"))</f>
        <v>☐ Scan. Install Man</v>
      </c>
      <c r="F32" s="380" t="s">
        <v>275</v>
      </c>
      <c r="G32" s="307" t="s">
        <v>274</v>
      </c>
      <c r="H32" s="439" t="s">
        <v>250</v>
      </c>
      <c r="I32" s="381"/>
      <c r="J32" s="307" t="str">
        <f ca="1">IF(AND(
INDIRECT(
IF(INT((ROW(D32)-10)/30)+1=1,"DENDRO","")&amp;
IF(INT((ROW(D32)-10)/30)+1=2,"CELL","")&amp;
IF(INT((ROW(D32)-10)/30)+1=3,"RHIZO","")&amp;
IF(INT((ROW(D32)-10)/30)+1=4,"RHIZOTRON","")&amp;
IF(INT((ROW(D32)-10)/30)+1=5,"FOLIA","")&amp;
IF(INT((ROW(D32)-10)/30)+1=6,"SEEDLE","")&amp;
IF(INT((ROW(D32)-10)/30)+1=7,"CAM","")&amp;
IF(INT((ROW(D32)-10)/30)+1=8,"SCANOPY","") &amp; "_ChkB_RemoteUpdate"),
INDIRECT(
IF(INT((ROW(D32)-10)/30)+1=1,"DENDRO","")&amp;
IF(INT((ROW(D32)-10)/30)+1=2,"CELL","")&amp;
IF(INT((ROW(D32)-10)/30)+1=3,"RHIZO","")&amp;
IF(INT((ROW(D32)-10)/30)+1=4,"RHIZOTRON","")&amp;
IF(INT((ROW(D32)-10)/30)+1=5,"FOLIA","")&amp;
IF(INT((ROW(D32)-10)/30)+1=6,"SEEDLE","")&amp;
IF(INT((ROW(D32)-10)/30)+1=7,"CAM","")&amp;
IF(INT((ROW(D32)-10)/30)+1=8,"SCANOPY","") &amp; "_ChkBox_UpgradeUpdate")),
"Clé de bois ou Download. Reprogrammation clé client",
"☐ " &amp; IF(AND(QUOTE_Split_SoftwareHardware,QUOTE_InternetDownload),"Man ds env. ""Documents"", Clé ds bulle collée sur env.","Reliée au Man"))</f>
        <v>☐ Reliée au Man</v>
      </c>
      <c r="K32" s="265"/>
      <c r="L32" s="223"/>
      <c r="M32" s="439"/>
      <c r="N32" s="380"/>
      <c r="O32" s="307"/>
      <c r="P32" s="215"/>
      <c r="Q32" s="215"/>
    </row>
    <row r="33" spans="1:17" ht="16.25" customHeight="1" x14ac:dyDescent="0.2">
      <c r="A33" s="415"/>
      <c r="B33" s="290"/>
      <c r="C33" s="905" t="str">
        <f>IF((DENDRO_N_UpgradeUpdate + DENDRO_N_Software ) = 2,"",LEFT(INDEX(DENDRO_SoftwareFullNames,DENDRO_IndexSoftware),FIND(" ",INDEX(DENDRO_SoftwareFullNames,DENDRO_IndexSoftware),FIND(" ",INDEX(DENDRO_SoftwareFullNames,DENDRO_IndexSoftware))+1)) &amp;
DENDRO_YearMostRecent )</f>
        <v/>
      </c>
      <c r="D33" s="905"/>
      <c r="E33" s="374"/>
      <c r="F33" s="298"/>
      <c r="G33" s="269" t="str">
        <f>IF(DENDRO_OptionXL*(DENDRO_N_Software+DENDRO_N_UpgradeUpdate-2)&gt;=((ROW(G33)-ROW($G$9))/4+1),"XLSTEM "&amp; DENDRO_YearMostRecent,"")</f>
        <v/>
      </c>
      <c r="H33" s="226"/>
      <c r="I33" s="226"/>
      <c r="J33" s="269" t="str">
        <f>IF(DENDRO_N_System-1&gt;=((ROW(G33)-ROW($G$9))/4+1),IF(DENDRO_IndexScanner=1,"STD4800","LA2400") &amp; " System"&amp; IF(AND(DENDRO_ClientWithOrWithoutScanner=2,DENDRO_N_System&gt;1)," Sans Scanner"," Avec Scanner"),
IF(AND(DENDRO_N_Software&gt;DENDRO_N_System,DENDRO_N_Software-1&gt;=((ROW(G33)-ROW($G$9))/4+1)),IF(N_SystemTotal=0,"Software Only",IF(N_STDScanners+N_LAScanners+N_LCScanners=0,"Software Sans Scanner","Software Avec Scanner")),
IF(DENDRO_N_UpgradeUpdate-1&gt;=((ROW(G33)-ROW($G$9))/4+1)-(MAX(DENDRO_N_System,DENDRO_N_Software)-1),"Update","")))</f>
        <v/>
      </c>
      <c r="K33" s="226"/>
      <c r="L33" s="219"/>
      <c r="M33" s="220"/>
      <c r="N33" s="219"/>
      <c r="O33" s="377"/>
      <c r="P33" s="215"/>
      <c r="Q33" s="215"/>
    </row>
    <row r="34" spans="1:17" ht="24" customHeight="1" x14ac:dyDescent="0.2">
      <c r="A34" s="427" t="s">
        <v>258</v>
      </c>
      <c r="B34" s="287" t="s">
        <v>258</v>
      </c>
      <c r="C34" s="378" t="str">
        <f>IF(AND(QUOTE_Split_SoftwareHardware,QUOTE_InternetDownload),"",
"☐☐ Win" &amp;
IF(INT((ROW(D34)-10)/30)+1=1,"DEN","")&amp;
IF(INT((ROW(D34)-10)/30)+1=2,"CEL","")&amp;
IF(INT((ROW(D34)-10)/30)+1=3,"RHI","")&amp;
IF(INT((ROW(D34)-10)/30)+1=4,"RT","")&amp;
IF(INT((ROW(D34)-10)/30)+1=5,"FOL","")&amp;
IF(INT((ROW(D34)-10)/30)+1=6,"SEE","")&amp;
IF(INT((ROW(D34)-10)/30)+1=7,"CAM","")&amp;
IF(INT((ROW(D34)-10)/30)+1=8,"SCA","") &amp; ".exe")</f>
        <v>☐☐ WinDEN.exe</v>
      </c>
      <c r="D34" s="378" t="str">
        <f>IF(AND(QUOTE_Split_SoftwareHardware,QUOTE_InternetDownload),"",
 IF(N("If it is Cam, Do not Show XL")+AND(ROW(D34)&gt;=189,ROW(D34)&lt;=218),"","☐ XL" &amp;
IF(INT((ROW(D34)-10)/30)+1=1,"STEM","")&amp;
IF(INT((ROW(D34)-10)/30)+1=2,"Cell","")&amp;
IF(INT((ROW(D34)-10)/30)+1=3,"Rhizo","")&amp;
IF(INT((ROW(D34)-10)/30)+1=4,"RhizoT","")&amp;
IF(INT((ROW(D34)-10)/30)+1=5,"Folia","")&amp;
IF(INT((ROW(D34)-10)/30)+1=6,"Seedle","")&amp;
IF(INT((ROW(D34)-10)/30)+1=7,"Cam","")&amp;
IF(INT((ROW(D34)-10)/30)+1=8,"Scanopy","") &amp; ".xls"))</f>
        <v>☐ XLSTEM.xls</v>
      </c>
      <c r="E34" s="378" t="s">
        <v>299</v>
      </c>
      <c r="F34" s="379" t="s">
        <v>152</v>
      </c>
      <c r="G34" s="378" t="str">
        <f xml:space="preserve"> IF(N("If it is Cam, Do not Show XL")+AND(ROW(G34)&gt;=189,ROW(G34)&lt;=218),"","☐ XL Man")</f>
        <v>☐ XL Man</v>
      </c>
      <c r="H34" s="379" t="s">
        <v>280</v>
      </c>
      <c r="I34" s="307" t="s">
        <v>274</v>
      </c>
      <c r="J34" s="379" t="str">
        <f>IF(N("Si OR dessous = vrai, pas de box")+OR(
N("1 OR Tron ou CELL")+OR(AND(ROW(E34)&gt;=39,ROW(E34)&lt;=68),AND(ROW(E34)&gt;=99,ROW(E34)&lt;=128)),
N("2 Pas de système scanopy and range opy")+AND(ROW(E34)&gt;=219,ROW(E34)&lt;=248,SCANOPY_N_System&lt;2),
N("3 Avec LC") + IF(AND(IF(PROD_MostPopularScanner="LC",1,0), NOT(AND(ROW(E34)&gt;=129,ROW(E34)&lt;=158)), NOT(AND(ROW(E34)&gt;=189,ROW(E34)&lt;=218))),1,0)
),"","☐ ")
&amp;
IF(N("If it's OPY, put OMount Manual instead")+
AND(ROW(D34)&gt;=219,ROW(D34)&lt;=248),
IF(SCANOPY_N_System&gt;1,
IF(SCANOPY_IndexScanner=1,"α" &amp; SCANOPY_CameraModel,SCANOPY_CameraModel_Mini) &amp; " Man",""),
IF(N("Empty si OR = true . . .If it is Cell or Tron, Do not Show Scanner related items + Hide if LC is favorite on unavailable product")+OR(
AND(ROW(E34)&gt;=39,ROW(E34)&lt;=68),
AND(ROW(E34)&gt;=99,ROW(E34)&lt;=128),
AND(IF(PROD_MostPopularScanner="LC",1,0), NOT(AND(ROW(E34)&gt;=129,ROW(E34)&lt;=158)), NOT(AND(ROW(E34)&gt;=189,ROW(E34)&lt;=218))),
0=1),
    "", IF(1=N("Si système a un scanner différent du Scanner populaire alors différent, sinon Scanner populaire")+AND(NOT(ISERROR(SEARCH("System",J33))),LEFT(J33,2)&lt;&gt;LEFT(PROD_MostPopularScanner,2)),
LEFT(J33,SEARCH("00",J33)-3),
PROD_MostPopularScanner) &amp; " Install Man"))</f>
        <v>☐ Scan. Install Man</v>
      </c>
      <c r="K34" s="378" t="str">
        <f>IF(N("If it is Cell or Tron or OPY, Do not Show Twain")+OR(AND(ROW(K34)&gt;=39,ROW(K34)&lt;=68),AND(ROW(K34)&gt;=99,ROW(K34)&lt;=128),AND(ROW(J34)&gt;=219,ROW(J34)&lt;=248)),"","☐ TWAIN")</f>
        <v>☐ TWAIN</v>
      </c>
      <c r="L34" s="379" t="str">
        <f>IF(AND(IF(PROD_MostPopularScanner="LC",1,0), NOT(AND(ROW(E34)&gt;=129,ROW(E34)&lt;=158)), NOT(AND(ROW(E34)&gt;=189,ROW(E34)&lt;=218))),"",
IF(N("Si OR dessous = vrai, pas de box")+OR(
N("1 OR Dendro+CELL, Tron+Folia,Cam")+OR(
AND(ROW(K34)&gt;=9,ROW(K34)&lt;=68),
AND(ROW(K34)&gt;=99,ROW(K34)&lt;=158),
AND(ROW(K34)&gt;=189,ROW(K34)&lt;=218)),
N("2 Pas de système scanopy and range opy")+AND(ROW(K34)&gt;=219,ROW(K34)&lt;=248,SCANOPY_N_System&lt;2),
N("3 Avec LC")&amp;IF(ISERROR(LEFT(J33,SEARCH("00",J33)-3)),"",LEFT(J33,SEARCH("00",J33)-3))="LC"),"","☐ ")
&amp;
IF(N("If it's OPY, put OMount Manual instead")+
AND(ROW(J34)&gt;=219,ROW(J34)&lt;=248),
IF(SCANOPY_N_System&gt;1,"OMount Man",""),
IF(N("If it is Dendro+CELL, Tron+Folia or Cam, Do not Show Scanner related items+No Video if LC")+OR(
AND(ROW(K34)&gt;=9,ROW(K34)&lt;=68),
AND(ROW(K34)&gt;=99,ROW(K34)&lt;=158),
AND(ROW(K34)&gt;=189,ROW(K34)&lt;=218),
IF(ISERROR(LEFT(J33,SEARCH("00",J33)-3)),"",LEFT(J33,SEARCH("00",J33)-3))="LC"),
    "", "Video " &amp; IF(1=N("Si système a un scanner différent du Scanner populaire alors différent, sinon Scanner populaire")+AND(NOT(ISERROR(SEARCH("System",J33))),LEFT(J33,2)&lt;&gt;LEFT(PROD_MostPopularScanner,2)),
LEFT(J33,SEARCH("00",J33)-3),
PROD_MostPopularScanner) &amp; " Install"))
)</f>
        <v/>
      </c>
      <c r="M34" s="378" t="str">
        <f>IF(N("If it is Dendro or Tron, Do not Show Color Analysis Video")+
OR(AND(ROW(L34)&gt;=9,ROW(L34)&lt;=38),
AND(ROW(L34)&gt;=99,ROW(L34)&lt;=128)), "","☐ Video ClrAna")</f>
        <v/>
      </c>
      <c r="N34" s="379" t="str">
        <f>IF(OR(INT((ROW(D34)-10)/30)+1=2,INT((ROW(D34)-10)/30)+1=4),"","☐ ")&amp;
IF(INT((ROW(D34)-10)/30)+1=1,"Scanner.cal","")&amp;
IF(INT((ROW(D34)-10)/30)+1=2,"","")&amp;
IF(INT((ROW(D34)-10)/30)+1=3,"Scanner.cal","")&amp;
IF(INT((ROW(D34)-10)/30)+1=4,"","")&amp;
IF(INT((ROW(D34)-10)/30)+1=5,"Scanner.cal","")&amp;
IF(INT((ROW(D34)-10)/30)+1=6,"Scanner.cal","")&amp;
IF(INT((ROW(D34)-10)/30)+1=7,"Scanner.cal","")&amp;
IF(INT((ROW(D34)-10)/30)+1=8,"Indiv" &amp; " Lens.cal","")</f>
        <v>☐ Scanner.cal</v>
      </c>
      <c r="O34" s="307" t="str">
        <f>IF(AND(ROW(L34)&gt;=9,ROW(L34)&lt;=38),"☐ RegentTarget.blu","")</f>
        <v>☐ RegentTarget.blu</v>
      </c>
      <c r="P34" s="215"/>
      <c r="Q34" s="215"/>
    </row>
    <row r="35" spans="1:17" ht="24" customHeight="1" x14ac:dyDescent="0.2">
      <c r="A35" s="427" t="s">
        <v>259</v>
      </c>
      <c r="B35" s="224" t="s">
        <v>259</v>
      </c>
      <c r="C35" s="307" t="s">
        <v>152</v>
      </c>
      <c r="D35" s="307" t="str">
        <f xml:space="preserve"> IF(N("If it is Cam, Do not Show XL")+AND(ROW(D35)&gt;=189,ROW(D35)&lt;=218),"","☐ XL Man")</f>
        <v>☐ XL Man</v>
      </c>
      <c r="E35" s="437" t="str">
        <f>IF(N("Si OR dessous = vrai, pas de box")+OR(
N("1 OR Tron ou CELL")+OR(AND(ROW(K34)&gt;=39,ROW(K34)&lt;=68),AND(ROW(K34)&gt;=99,ROW(K34)&lt;=128)),
N("2 Pas de système scanopy and range opy")+AND(ROW(K34)&gt;=219,ROW(K34)&lt;=248,SCANOPY_N_System&lt;2),
N("3 Avec LC")&amp;IF(ISERROR(LEFT(J33,SEARCH("00",J33)-3)),"",LEFT(J33,SEARCH("00",J33)-3))="LC"),"","☐ ")
&amp;
IF(N("If it's OPY, put OMount Manual instead")+
AND(ROW(J34)&gt;=219,ROW(J34)&lt;=248),
IF(SCANOPY_N_System&gt;1,"OMount Man",""),
IF(N("If it is Cell or Tron, Do not Show Scanner related items")+OR(
AND(ROW(K34)&gt;=39,ROW(K34)&lt;=68),
AND(ROW(K34)&gt;=99,ROW(K34)&lt;=128)),
    "", IF(1=N("Si système a un scanner différent du Scanner populaire alors différent, sinon Scanner populaire")+AND(NOT(ISERROR(SEARCH("System",J33))),LEFT(J33,2)&lt;&gt;LEFT(PROD_MostPopularScanner,2)),
LEFT(J33,SEARCH("00",J33)-3),
PROD_MostPopularScanner) &amp; " Install Man"))</f>
        <v>☐ Scan. Install Man</v>
      </c>
      <c r="F35" s="380" t="s">
        <v>275</v>
      </c>
      <c r="G35" s="307" t="s">
        <v>274</v>
      </c>
      <c r="H35" s="439" t="s">
        <v>250</v>
      </c>
      <c r="I35" s="381"/>
      <c r="J35" s="307" t="str">
        <f ca="1">IF(AND(
INDIRECT(
IF(INT((ROW(D35)-10)/30)+1=1,"DENDRO","")&amp;
IF(INT((ROW(D35)-10)/30)+1=2,"CELL","")&amp;
IF(INT((ROW(D35)-10)/30)+1=3,"RHIZO","")&amp;
IF(INT((ROW(D35)-10)/30)+1=4,"RHIZOTRON","")&amp;
IF(INT((ROW(D35)-10)/30)+1=5,"FOLIA","")&amp;
IF(INT((ROW(D35)-10)/30)+1=6,"SEEDLE","")&amp;
IF(INT((ROW(D35)-10)/30)+1=7,"CAM","")&amp;
IF(INT((ROW(D35)-10)/30)+1=8,"SCANOPY","") &amp; "_ChkB_RemoteUpdate"),
INDIRECT(
IF(INT((ROW(D35)-10)/30)+1=1,"DENDRO","")&amp;
IF(INT((ROW(D35)-10)/30)+1=2,"CELL","")&amp;
IF(INT((ROW(D35)-10)/30)+1=3,"RHIZO","")&amp;
IF(INT((ROW(D35)-10)/30)+1=4,"RHIZOTRON","")&amp;
IF(INT((ROW(D35)-10)/30)+1=5,"FOLIA","")&amp;
IF(INT((ROW(D35)-10)/30)+1=6,"SEEDLE","")&amp;
IF(INT((ROW(D35)-10)/30)+1=7,"CAM","")&amp;
IF(INT((ROW(D35)-10)/30)+1=8,"SCANOPY","") &amp; "_ChkBox_UpgradeUpdate")),
"Clé de bois ou Download. Reprogrammation clé client",
"☐ " &amp; IF(AND(QUOTE_Split_SoftwareHardware,QUOTE_InternetDownload),"Man ds env. ""Documents"", Clé ds bulle collée sur env.","Reliée au Man"))</f>
        <v>☐ Reliée au Man</v>
      </c>
      <c r="K35" s="265"/>
      <c r="L35" s="223"/>
      <c r="M35" s="439"/>
      <c r="N35" s="380"/>
      <c r="O35" s="307"/>
      <c r="P35" s="215"/>
      <c r="Q35" s="215"/>
    </row>
    <row r="36" spans="1:17" ht="16.25" customHeight="1" x14ac:dyDescent="0.2">
      <c r="A36" s="415"/>
      <c r="B36" s="290"/>
      <c r="C36" s="905" t="str">
        <f>IF((DENDRO_N_UpgradeUpdate + DENDRO_N_Software ) = 2,"",LEFT(INDEX(DENDRO_SoftwareFullNames,DENDRO_IndexSoftware),FIND(" ",INDEX(DENDRO_SoftwareFullNames,DENDRO_IndexSoftware),FIND(" ",INDEX(DENDRO_SoftwareFullNames,DENDRO_IndexSoftware))+1)) &amp;
DENDRO_YearMostRecent )</f>
        <v/>
      </c>
      <c r="D36" s="905"/>
      <c r="E36" s="374"/>
      <c r="F36" s="298"/>
      <c r="G36" s="269" t="str">
        <f>IF(DENDRO_OptionXL*(DENDRO_N_Software+DENDRO_N_UpgradeUpdate-2)&gt;=((ROW(G36)-ROW($G$9))/4+1),"XLSTEM "&amp; DENDRO_YearMostRecent,"")</f>
        <v/>
      </c>
      <c r="H36" s="226"/>
      <c r="I36" s="226"/>
      <c r="J36" s="269" t="str">
        <f>IF(DENDRO_N_System-1&gt;=((ROW(G36)-ROW($G$9))/4+1),IF(DENDRO_IndexScanner=1,"STD4800","LA2400") &amp; " System"&amp; IF(AND(DENDRO_ClientWithOrWithoutScanner=2,DENDRO_N_System&gt;1)," Sans Scanner"," Avec Scanner"),
IF(AND(DENDRO_N_Software&gt;DENDRO_N_System,DENDRO_N_Software-1&gt;=((ROW(G36)-ROW($G$9))/4+1)),IF(N_SystemTotal=0,"Software Only",IF(N_STDScanners+N_LAScanners+N_LCScanners=0,"Software Sans Scanner","Software Avec Scanner")),
IF(DENDRO_N_UpgradeUpdate-1&gt;=((ROW(G36)-ROW($G$9))/4+1)-(MAX(DENDRO_N_System,DENDRO_N_Software)-1),"Update","")))</f>
        <v/>
      </c>
      <c r="K36" s="226"/>
      <c r="L36" s="219"/>
      <c r="M36" s="220"/>
      <c r="N36" s="219"/>
      <c r="O36" s="377"/>
      <c r="P36" s="215"/>
      <c r="Q36" s="215"/>
    </row>
    <row r="37" spans="1:17" ht="24" customHeight="1" x14ac:dyDescent="0.2">
      <c r="A37" s="427" t="s">
        <v>258</v>
      </c>
      <c r="B37" s="287" t="s">
        <v>258</v>
      </c>
      <c r="C37" s="378" t="str">
        <f>IF(AND(QUOTE_Split_SoftwareHardware,QUOTE_InternetDownload),"",
"☐☐ Win" &amp;
IF(INT((ROW(D37)-10)/30)+1=1,"DEN","")&amp;
IF(INT((ROW(D37)-10)/30)+1=2,"CEL","")&amp;
IF(INT((ROW(D37)-10)/30)+1=3,"RHI","")&amp;
IF(INT((ROW(D37)-10)/30)+1=4,"RT","")&amp;
IF(INT((ROW(D37)-10)/30)+1=5,"FOL","")&amp;
IF(INT((ROW(D37)-10)/30)+1=6,"SEE","")&amp;
IF(INT((ROW(D37)-10)/30)+1=7,"CAM","")&amp;
IF(INT((ROW(D37)-10)/30)+1=8,"SCA","") &amp; ".exe")</f>
        <v>☐☐ WinDEN.exe</v>
      </c>
      <c r="D37" s="378" t="str">
        <f>IF(AND(QUOTE_Split_SoftwareHardware,QUOTE_InternetDownload),"",
 IF(N("If it is Cam, Do not Show XL")+AND(ROW(D37)&gt;=189,ROW(D37)&lt;=218),"","☐ XL" &amp;
IF(INT((ROW(D37)-10)/30)+1=1,"STEM","")&amp;
IF(INT((ROW(D37)-10)/30)+1=2,"Cell","")&amp;
IF(INT((ROW(D37)-10)/30)+1=3,"Rhizo","")&amp;
IF(INT((ROW(D37)-10)/30)+1=4,"RhizoT","")&amp;
IF(INT((ROW(D37)-10)/30)+1=5,"Folia","")&amp;
IF(INT((ROW(D37)-10)/30)+1=6,"Seedle","")&amp;
IF(INT((ROW(D37)-10)/30)+1=7,"Cam","")&amp;
IF(INT((ROW(D37)-10)/30)+1=8,"Scanopy","") &amp; ".xls"))</f>
        <v>☐ XLSTEM.xls</v>
      </c>
      <c r="E37" s="378" t="s">
        <v>299</v>
      </c>
      <c r="F37" s="379" t="s">
        <v>152</v>
      </c>
      <c r="G37" s="378" t="str">
        <f xml:space="preserve"> IF(N("If it is Cam, Do not Show XL")+AND(ROW(G37)&gt;=189,ROW(G37)&lt;=218),"","☐ XL Man")</f>
        <v>☐ XL Man</v>
      </c>
      <c r="H37" s="379" t="s">
        <v>280</v>
      </c>
      <c r="I37" s="307" t="s">
        <v>274</v>
      </c>
      <c r="J37" s="379" t="str">
        <f>IF(N("Si OR dessous = vrai, pas de box")+OR(
N("1 OR Tron ou CELL")+OR(AND(ROW(E37)&gt;=39,ROW(E37)&lt;=68),AND(ROW(E37)&gt;=99,ROW(E37)&lt;=128)),
N("2 Pas de système scanopy and range opy")+AND(ROW(E37)&gt;=219,ROW(E37)&lt;=248,SCANOPY_N_System&lt;2),
N("3 Avec LC") + IF(AND(IF(PROD_MostPopularScanner="LC",1,0), NOT(AND(ROW(E37)&gt;=129,ROW(E37)&lt;=158)), NOT(AND(ROW(E37)&gt;=189,ROW(E37)&lt;=218))),1,0)
),"","☐ ")
&amp;
IF(N("If it's OPY, put OMount Manual instead")+
AND(ROW(D37)&gt;=219,ROW(D37)&lt;=248),
IF(SCANOPY_N_System&gt;1,
IF(SCANOPY_IndexScanner=1,"α" &amp; SCANOPY_CameraModel,SCANOPY_CameraModel_Mini) &amp; " Man",""),
IF(N("Empty si OR = true . . .If it is Cell or Tron, Do not Show Scanner related items + Hide if LC is favorite on unavailable product")+OR(
AND(ROW(E37)&gt;=39,ROW(E37)&lt;=68),
AND(ROW(E37)&gt;=99,ROW(E37)&lt;=128),
AND(IF(PROD_MostPopularScanner="LC",1,0), NOT(AND(ROW(E37)&gt;=129,ROW(E37)&lt;=158)), NOT(AND(ROW(E37)&gt;=189,ROW(E37)&lt;=218))),
0=1),
    "", IF(1=N("Si système a un scanner différent du Scanner populaire alors différent, sinon Scanner populaire")+AND(NOT(ISERROR(SEARCH("System",J36))),LEFT(J36,2)&lt;&gt;LEFT(PROD_MostPopularScanner,2)),
LEFT(J36,SEARCH("00",J36)-3),
PROD_MostPopularScanner) &amp; " Install Man"))</f>
        <v>☐ Scan. Install Man</v>
      </c>
      <c r="K37" s="378" t="str">
        <f>IF(N("If it is Cell or Tron or OPY, Do not Show Twain")+OR(AND(ROW(K37)&gt;=39,ROW(K37)&lt;=68),AND(ROW(K37)&gt;=99,ROW(K37)&lt;=128),AND(ROW(J37)&gt;=219,ROW(J37)&lt;=248)),"","☐ TWAIN")</f>
        <v>☐ TWAIN</v>
      </c>
      <c r="L37" s="379" t="str">
        <f>IF(AND(IF(PROD_MostPopularScanner="LC",1,0), NOT(AND(ROW(E37)&gt;=129,ROW(E37)&lt;=158)), NOT(AND(ROW(E37)&gt;=189,ROW(E37)&lt;=218))),"",
IF(N("Si OR dessous = vrai, pas de box")+OR(
N("1 OR Dendro+CELL, Tron+Folia,Cam")+OR(
AND(ROW(K37)&gt;=9,ROW(K37)&lt;=68),
AND(ROW(K37)&gt;=99,ROW(K37)&lt;=158),
AND(ROW(K37)&gt;=189,ROW(K37)&lt;=218)),
N("2 Pas de système scanopy and range opy")+AND(ROW(K37)&gt;=219,ROW(K37)&lt;=248,SCANOPY_N_System&lt;2),
N("3 Avec LC")&amp;IF(ISERROR(LEFT(J36,SEARCH("00",J36)-3)),"",LEFT(J36,SEARCH("00",J36)-3))="LC"),"","☐ ")
&amp;
IF(N("If it's OPY, put OMount Manual instead")+
AND(ROW(J37)&gt;=219,ROW(J37)&lt;=248),
IF(SCANOPY_N_System&gt;1,"OMount Man",""),
IF(N("If it is Dendro+CELL, Tron+Folia or Cam, Do not Show Scanner related items+No Video if LC")+OR(
AND(ROW(K37)&gt;=9,ROW(K37)&lt;=68),
AND(ROW(K37)&gt;=99,ROW(K37)&lt;=158),
AND(ROW(K37)&gt;=189,ROW(K37)&lt;=218),
IF(ISERROR(LEFT(J36,SEARCH("00",J36)-3)),"",LEFT(J36,SEARCH("00",J36)-3))="LC"),
    "", "Video " &amp; IF(1=N("Si système a un scanner différent du Scanner populaire alors différent, sinon Scanner populaire")+AND(NOT(ISERROR(SEARCH("System",J36))),LEFT(J36,2)&lt;&gt;LEFT(PROD_MostPopularScanner,2)),
LEFT(J36,SEARCH("00",J36)-3),
PROD_MostPopularScanner) &amp; " Install"))
)</f>
        <v/>
      </c>
      <c r="M37" s="378" t="str">
        <f>IF(N("If it is Dendro or Tron, Do not Show Color Analysis Video")+
OR(AND(ROW(L37)&gt;=9,ROW(L37)&lt;=38),
AND(ROW(L37)&gt;=99,ROW(L37)&lt;=128)), "","☐ Video ClrAna")</f>
        <v/>
      </c>
      <c r="N37" s="379" t="str">
        <f>IF(OR(INT((ROW(D37)-10)/30)+1=2,INT((ROW(D37)-10)/30)+1=4),"","☐ ")&amp;
IF(INT((ROW(D37)-10)/30)+1=1,"Scanner.cal","")&amp;
IF(INT((ROW(D37)-10)/30)+1=2,"","")&amp;
IF(INT((ROW(D37)-10)/30)+1=3,"Scanner.cal","")&amp;
IF(INT((ROW(D37)-10)/30)+1=4,"","")&amp;
IF(INT((ROW(D37)-10)/30)+1=5,"Scanner.cal","")&amp;
IF(INT((ROW(D37)-10)/30)+1=6,"Scanner.cal","")&amp;
IF(INT((ROW(D37)-10)/30)+1=7,"Scanner.cal","")&amp;
IF(INT((ROW(D37)-10)/30)+1=8,"Indiv" &amp; " Lens.cal","")</f>
        <v>☐ Scanner.cal</v>
      </c>
      <c r="O37" s="307" t="str">
        <f>IF(AND(ROW(L37)&gt;=9,ROW(L37)&lt;=38),"☐ RegentTarget.blu","")</f>
        <v>☐ RegentTarget.blu</v>
      </c>
      <c r="P37" s="215"/>
      <c r="Q37" s="215"/>
    </row>
    <row r="38" spans="1:17" ht="24" customHeight="1" x14ac:dyDescent="0.2">
      <c r="A38" s="427" t="s">
        <v>259</v>
      </c>
      <c r="B38" s="224" t="s">
        <v>259</v>
      </c>
      <c r="C38" s="307" t="s">
        <v>152</v>
      </c>
      <c r="D38" s="307" t="str">
        <f xml:space="preserve"> IF(N("If it is Cam, Do not Show XL")+AND(ROW(D38)&gt;=189,ROW(D38)&lt;=218),"","☐ XL Man")</f>
        <v>☐ XL Man</v>
      </c>
      <c r="E38" s="437" t="str">
        <f>IF(N("Si OR dessous = vrai, pas de box")+OR(
N("1 OR Tron ou CELL")+OR(AND(ROW(K37)&gt;=39,ROW(K37)&lt;=68),AND(ROW(K37)&gt;=99,ROW(K37)&lt;=128)),
N("2 Pas de système scanopy and range opy")+AND(ROW(K37)&gt;=219,ROW(K37)&lt;=248,SCANOPY_N_System&lt;2),
N("3 Avec LC")&amp;IF(ISERROR(LEFT(J36,SEARCH("00",J36)-3)),"",LEFT(J36,SEARCH("00",J36)-3))="LC"),"","☐ ")
&amp;
IF(N("If it's OPY, put OMount Manual instead")+
AND(ROW(J37)&gt;=219,ROW(J37)&lt;=248),
IF(SCANOPY_N_System&gt;1,"OMount Man",""),
IF(N("If it is Cell or Tron, Do not Show Scanner related items")+OR(
AND(ROW(K37)&gt;=39,ROW(K37)&lt;=68),
AND(ROW(K37)&gt;=99,ROW(K37)&lt;=128)),
    "", IF(1=N("Si système a un scanner différent du Scanner populaire alors différent, sinon Scanner populaire")+AND(NOT(ISERROR(SEARCH("System",J36))),LEFT(J36,2)&lt;&gt;LEFT(PROD_MostPopularScanner,2)),
LEFT(J36,SEARCH("00",J36)-3),
PROD_MostPopularScanner) &amp; " Install Man"))</f>
        <v>☐ Scan. Install Man</v>
      </c>
      <c r="F38" s="380" t="s">
        <v>275</v>
      </c>
      <c r="G38" s="307" t="s">
        <v>274</v>
      </c>
      <c r="H38" s="439" t="s">
        <v>250</v>
      </c>
      <c r="I38" s="381"/>
      <c r="J38" s="307" t="str">
        <f ca="1">IF(AND(
INDIRECT(
IF(INT((ROW(D38)-10)/30)+1=1,"DENDRO","")&amp;
IF(INT((ROW(D38)-10)/30)+1=2,"CELL","")&amp;
IF(INT((ROW(D38)-10)/30)+1=3,"RHIZO","")&amp;
IF(INT((ROW(D38)-10)/30)+1=4,"RHIZOTRON","")&amp;
IF(INT((ROW(D38)-10)/30)+1=5,"FOLIA","")&amp;
IF(INT((ROW(D38)-10)/30)+1=6,"SEEDLE","")&amp;
IF(INT((ROW(D38)-10)/30)+1=7,"CAM","")&amp;
IF(INT((ROW(D38)-10)/30)+1=8,"SCANOPY","") &amp; "_ChkB_RemoteUpdate"),
INDIRECT(
IF(INT((ROW(D38)-10)/30)+1=1,"DENDRO","")&amp;
IF(INT((ROW(D38)-10)/30)+1=2,"CELL","")&amp;
IF(INT((ROW(D38)-10)/30)+1=3,"RHIZO","")&amp;
IF(INT((ROW(D38)-10)/30)+1=4,"RHIZOTRON","")&amp;
IF(INT((ROW(D38)-10)/30)+1=5,"FOLIA","")&amp;
IF(INT((ROW(D38)-10)/30)+1=6,"SEEDLE","")&amp;
IF(INT((ROW(D38)-10)/30)+1=7,"CAM","")&amp;
IF(INT((ROW(D38)-10)/30)+1=8,"SCANOPY","") &amp; "_ChkBox_UpgradeUpdate")),
"Clé de bois ou Download. Reprogrammation clé client",
"☐ " &amp; IF(AND(QUOTE_Split_SoftwareHardware,QUOTE_InternetDownload),"Man ds env. ""Documents"", Clé ds bulle collée sur env.","Reliée au Man"))</f>
        <v>☐ Reliée au Man</v>
      </c>
      <c r="K38" s="265"/>
      <c r="L38" s="223"/>
      <c r="M38" s="439"/>
      <c r="N38" s="380"/>
      <c r="O38" s="307"/>
      <c r="P38" s="215"/>
      <c r="Q38" s="215"/>
    </row>
    <row r="39" spans="1:17" ht="16.25" customHeight="1" x14ac:dyDescent="0.2">
      <c r="A39" s="416"/>
      <c r="B39" s="291"/>
      <c r="C39" s="907" t="str">
        <f>IF((CELL_N_UpgradeUpdate + CELL_N_Software ) = 2,"",LEFT(INDEX(CELL_SoftwareFullNames,CELL_IndexSoftware),FIND(" ",INDEX(CELL_SoftwareFullNames,CELL_IndexSoftware),FIND(" ",INDEX(CELL_SoftwareFullNames,CELL_IndexSoftware))+1)) &amp;
CELL_YearMostRecent )</f>
        <v/>
      </c>
      <c r="D39" s="907"/>
      <c r="E39" s="299"/>
      <c r="F39" s="299"/>
      <c r="G39" s="270" t="str">
        <f>IF(CELL_OptionXL*(CELL_N_Software+CELL_N_UpgradeUpdate-2)&gt;=((ROW(G39)-ROW($G$39))/4+1),"XLCELL "&amp; CELL_YearMostRecent,"")</f>
        <v/>
      </c>
      <c r="H39" s="227"/>
      <c r="I39" s="227"/>
      <c r="J39" s="270" t="str">
        <f>IF(CELL_N_Software-1&gt;=((ROW(G39)-ROW($G$39))/4+1),IF(N_SystemTotal=0,"Software Only",IF(N_STDScanners+N_LAScanners+N_LCScanners=0,"Software Sans Scanner","Software Avec Scanner")),
IF(CELL_N_UpgradeUpdate-1&gt;=((ROW(G39)-ROW($G$39))/4+1)-(CELL_N_Software-1),"Update",""))</f>
        <v/>
      </c>
      <c r="K39" s="227"/>
      <c r="L39" s="221"/>
      <c r="M39" s="221"/>
      <c r="N39" s="221"/>
      <c r="O39" s="377"/>
      <c r="P39" s="215"/>
      <c r="Q39" s="215"/>
    </row>
    <row r="40" spans="1:17" ht="24" customHeight="1" x14ac:dyDescent="0.2">
      <c r="A40" s="428" t="s">
        <v>258</v>
      </c>
      <c r="B40" s="287" t="s">
        <v>258</v>
      </c>
      <c r="C40" s="378" t="str">
        <f>IF(AND(QUOTE_Split_SoftwareHardware,QUOTE_InternetDownload),"",
"☐☐ Win" &amp;
IF(INT((ROW(D40)-10)/30)+1=1,"DEN","")&amp;
IF(INT((ROW(D40)-10)/30)+1=2,"CEL","")&amp;
IF(INT((ROW(D40)-10)/30)+1=3,"RHI","")&amp;
IF(INT((ROW(D40)-10)/30)+1=4,"RT","")&amp;
IF(INT((ROW(D40)-10)/30)+1=5,"FOL","")&amp;
IF(INT((ROW(D40)-10)/30)+1=6,"SEE","")&amp;
IF(INT((ROW(D40)-10)/30)+1=7,"CAM","")&amp;
IF(INT((ROW(D40)-10)/30)+1=8,"SCA","") &amp; ".exe")</f>
        <v>☐☐ WinCEL.exe</v>
      </c>
      <c r="D40" s="378" t="str">
        <f>IF(AND(QUOTE_Split_SoftwareHardware,QUOTE_InternetDownload),"",
 IF(N("If it is Cam, Do not Show XL")+AND(ROW(D40)&gt;=189,ROW(D40)&lt;=218),"","☐ XL" &amp;
IF(INT((ROW(D40)-10)/30)+1=1,"STEM","")&amp;
IF(INT((ROW(D40)-10)/30)+1=2,"Cell","")&amp;
IF(INT((ROW(D40)-10)/30)+1=3,"Rhizo","")&amp;
IF(INT((ROW(D40)-10)/30)+1=4,"RhizoT","")&amp;
IF(INT((ROW(D40)-10)/30)+1=5,"Folia","")&amp;
IF(INT((ROW(D40)-10)/30)+1=6,"Seedle","")&amp;
IF(INT((ROW(D40)-10)/30)+1=7,"Cam","")&amp;
IF(INT((ROW(D40)-10)/30)+1=8,"Scanopy","") &amp; ".xls"))</f>
        <v>☐ XLCell.xls</v>
      </c>
      <c r="E40" s="378" t="s">
        <v>299</v>
      </c>
      <c r="F40" s="379" t="s">
        <v>152</v>
      </c>
      <c r="G40" s="378" t="str">
        <f xml:space="preserve"> IF(N("If it is Cam, Do not Show XL")+AND(ROW(G40)&gt;=189,ROW(G40)&lt;=218),"","☐ XL Man")</f>
        <v>☐ XL Man</v>
      </c>
      <c r="H40" s="379" t="s">
        <v>280</v>
      </c>
      <c r="I40" s="307" t="s">
        <v>274</v>
      </c>
      <c r="J40" s="379" t="str">
        <f>IF(N("Si OR dessous = vrai, pas de box")+OR(
N("1 OR Tron ou CELL")+OR(AND(ROW(E40)&gt;=39,ROW(E40)&lt;=68),AND(ROW(E40)&gt;=99,ROW(E40)&lt;=128)),
N("2 Pas de système scanopy and range opy")+AND(ROW(E40)&gt;=219,ROW(E40)&lt;=248,SCANOPY_N_System&lt;2),
N("3 Avec LC") + IF(AND(IF(PROD_MostPopularScanner="LC",1,0), NOT(AND(ROW(E40)&gt;=129,ROW(E40)&lt;=158)), NOT(AND(ROW(E40)&gt;=189,ROW(E40)&lt;=218))),1,0)
),"","☐ ")
&amp;
IF(N("If it's OPY, put OMount Manual instead")+
AND(ROW(D40)&gt;=219,ROW(D40)&lt;=248),
IF(SCANOPY_N_System&gt;1,
IF(SCANOPY_IndexScanner=1,"α" &amp; SCANOPY_CameraModel,SCANOPY_CameraModel_Mini) &amp; " Man",""),
IF(N("Empty si OR = true . . .If it is Cell or Tron, Do not Show Scanner related items + Hide if LC is favorite on unavailable product")+OR(
AND(ROW(E40)&gt;=39,ROW(E40)&lt;=68),
AND(ROW(E40)&gt;=99,ROW(E40)&lt;=128),
AND(IF(PROD_MostPopularScanner="LC",1,0), NOT(AND(ROW(E40)&gt;=129,ROW(E40)&lt;=158)), NOT(AND(ROW(E40)&gt;=189,ROW(E40)&lt;=218))),
0=1),
    "", IF(1=N("Si système a un scanner différent du Scanner populaire alors différent, sinon Scanner populaire")+AND(NOT(ISERROR(SEARCH("System",J39))),LEFT(J39,2)&lt;&gt;LEFT(PROD_MostPopularScanner,2)),
LEFT(J39,SEARCH("00",J39)-3),
PROD_MostPopularScanner) &amp; " Install Man"))</f>
        <v/>
      </c>
      <c r="K40" s="378" t="str">
        <f>IF(N("If it is Cell or Tron or OPY, Do not Show Twain")+OR(AND(ROW(K40)&gt;=39,ROW(K40)&lt;=68),AND(ROW(K40)&gt;=99,ROW(K40)&lt;=128),AND(ROW(J40)&gt;=219,ROW(J40)&lt;=248)),"","☐ TWAIN")</f>
        <v/>
      </c>
      <c r="L40" s="379" t="str">
        <f>IF(AND(IF(PROD_MostPopularScanner="LC",1,0), NOT(AND(ROW(E40)&gt;=129,ROW(E40)&lt;=158)), NOT(AND(ROW(E40)&gt;=189,ROW(E40)&lt;=218))),"",
IF(N("Si OR dessous = vrai, pas de box")+OR(
N("1 OR Dendro+CELL, Tron+Folia,Cam")+OR(
AND(ROW(K40)&gt;=9,ROW(K40)&lt;=68),
AND(ROW(K40)&gt;=99,ROW(K40)&lt;=158),
AND(ROW(K40)&gt;=189,ROW(K40)&lt;=218)),
N("2 Pas de système scanopy and range opy")+AND(ROW(K40)&gt;=219,ROW(K40)&lt;=248,SCANOPY_N_System&lt;2),
N("3 Avec LC")&amp;IF(ISERROR(LEFT(J39,SEARCH("00",J39)-3)),"",LEFT(J39,SEARCH("00",J39)-3))="LC"),"","☐ ")
&amp;
IF(N("If it's OPY, put OMount Manual instead")+
AND(ROW(J40)&gt;=219,ROW(J40)&lt;=248),
IF(SCANOPY_N_System&gt;1,"OMount Man",""),
IF(N("If it is Dendro+CELL, Tron+Folia or Cam, Do not Show Scanner related items+No Video if LC")+OR(
AND(ROW(K40)&gt;=9,ROW(K40)&lt;=68),
AND(ROW(K40)&gt;=99,ROW(K40)&lt;=158),
AND(ROW(K40)&gt;=189,ROW(K40)&lt;=218),
IF(ISERROR(LEFT(J39,SEARCH("00",J39)-3)),"",LEFT(J39,SEARCH("00",J39)-3))="LC"),
    "", "Video " &amp; IF(1=N("Si système a un scanner différent du Scanner populaire alors différent, sinon Scanner populaire")+AND(NOT(ISERROR(SEARCH("System",J39))),LEFT(J39,2)&lt;&gt;LEFT(PROD_MostPopularScanner,2)),
LEFT(J39,SEARCH("00",J39)-3),
PROD_MostPopularScanner) &amp; " Install"))
)</f>
        <v/>
      </c>
      <c r="M40" s="378" t="str">
        <f>IF(N("If it is Dendro or Tron, Do not Show Color Analysis Video")+
OR(AND(ROW(L40)&gt;=9,ROW(L40)&lt;=38),
AND(ROW(L40)&gt;=99,ROW(L40)&lt;=128)), "","☐ Video ClrAna")</f>
        <v>☐ Video ClrAna</v>
      </c>
      <c r="N40" s="379" t="str">
        <f>IF(OR(INT((ROW(D40)-10)/30)+1=2,INT((ROW(D40)-10)/30)+1=4),"","☐ ")&amp;
IF(INT((ROW(D40)-10)/30)+1=1,"Scanner.cal","")&amp;
IF(INT((ROW(D40)-10)/30)+1=2,"","")&amp;
IF(INT((ROW(D40)-10)/30)+1=3,"Scanner.cal","")&amp;
IF(INT((ROW(D40)-10)/30)+1=4,"","")&amp;
IF(INT((ROW(D40)-10)/30)+1=5,"Scanner.cal","")&amp;
IF(INT((ROW(D40)-10)/30)+1=6,"Scanner.cal","")&amp;
IF(INT((ROW(D40)-10)/30)+1=7,"Scanner.cal","")&amp;
IF(INT((ROW(D40)-10)/30)+1=8,"Indiv" &amp; " Lens.cal","")</f>
        <v/>
      </c>
      <c r="O40" s="307" t="str">
        <f>IF(AND(ROW(L40)&gt;=9,ROW(L40)&lt;=38),"☐ RegentTarget.blu","")</f>
        <v/>
      </c>
      <c r="P40" s="215"/>
      <c r="Q40" s="215"/>
    </row>
    <row r="41" spans="1:17" ht="24" customHeight="1" x14ac:dyDescent="0.2">
      <c r="A41" s="428" t="s">
        <v>259</v>
      </c>
      <c r="B41" s="224" t="s">
        <v>259</v>
      </c>
      <c r="C41" s="307" t="s">
        <v>152</v>
      </c>
      <c r="D41" s="307" t="str">
        <f xml:space="preserve"> IF(N("If it is Cam, Do not Show XL")+AND(ROW(D41)&gt;=189,ROW(D41)&lt;=218),"","☐ XL Man")</f>
        <v>☐ XL Man</v>
      </c>
      <c r="E41" s="437" t="str">
        <f>IF(N("Si OR dessous = vrai, pas de box")+OR(
N("1 OR Tron ou CELL")+OR(AND(ROW(K40)&gt;=39,ROW(K40)&lt;=68),AND(ROW(K40)&gt;=99,ROW(K40)&lt;=128)),
N("2 Pas de système scanopy and range opy")+AND(ROW(K40)&gt;=219,ROW(K40)&lt;=248,SCANOPY_N_System&lt;2),
N("3 Avec LC")&amp;IF(ISERROR(LEFT(J39,SEARCH("00",J39)-3)),"",LEFT(J39,SEARCH("00",J39)-3))="LC"),"","☐ ")
&amp;
IF(N("If it's OPY, put OMount Manual instead")+
AND(ROW(J40)&gt;=219,ROW(J40)&lt;=248),
IF(SCANOPY_N_System&gt;1,"OMount Man",""),
IF(N("If it is Cell or Tron, Do not Show Scanner related items")+OR(
AND(ROW(K40)&gt;=39,ROW(K40)&lt;=68),
AND(ROW(K40)&gt;=99,ROW(K40)&lt;=128)),
    "", IF(1=N("Si système a un scanner différent du Scanner populaire alors différent, sinon Scanner populaire")+AND(NOT(ISERROR(SEARCH("System",J39))),LEFT(J39,2)&lt;&gt;LEFT(PROD_MostPopularScanner,2)),
LEFT(J39,SEARCH("00",J39)-3),
PROD_MostPopularScanner) &amp; " Install Man"))</f>
        <v/>
      </c>
      <c r="F41" s="380" t="s">
        <v>275</v>
      </c>
      <c r="G41" s="307" t="s">
        <v>274</v>
      </c>
      <c r="H41" s="439" t="s">
        <v>250</v>
      </c>
      <c r="I41" s="381"/>
      <c r="J41" s="307" t="str">
        <f ca="1">IF(AND(
INDIRECT(
IF(INT((ROW(D41)-10)/30)+1=1,"DENDRO","")&amp;
IF(INT((ROW(D41)-10)/30)+1=2,"CELL","")&amp;
IF(INT((ROW(D41)-10)/30)+1=3,"RHIZO","")&amp;
IF(INT((ROW(D41)-10)/30)+1=4,"RHIZOTRON","")&amp;
IF(INT((ROW(D41)-10)/30)+1=5,"FOLIA","")&amp;
IF(INT((ROW(D41)-10)/30)+1=6,"SEEDLE","")&amp;
IF(INT((ROW(D41)-10)/30)+1=7,"CAM","")&amp;
IF(INT((ROW(D41)-10)/30)+1=8,"SCANOPY","") &amp; "_ChkB_RemoteUpdate"),
INDIRECT(
IF(INT((ROW(D41)-10)/30)+1=1,"DENDRO","")&amp;
IF(INT((ROW(D41)-10)/30)+1=2,"CELL","")&amp;
IF(INT((ROW(D41)-10)/30)+1=3,"RHIZO","")&amp;
IF(INT((ROW(D41)-10)/30)+1=4,"RHIZOTRON","")&amp;
IF(INT((ROW(D41)-10)/30)+1=5,"FOLIA","")&amp;
IF(INT((ROW(D41)-10)/30)+1=6,"SEEDLE","")&amp;
IF(INT((ROW(D41)-10)/30)+1=7,"CAM","")&amp;
IF(INT((ROW(D41)-10)/30)+1=8,"SCANOPY","") &amp; "_ChkBox_UpgradeUpdate")),
"Clé de bois ou Download. Reprogrammation clé client",
"☐ " &amp; IF(AND(QUOTE_Split_SoftwareHardware,QUOTE_InternetDownload),"Man ds env. ""Documents"", Clé ds bulle collée sur env.","Reliée au Man"))</f>
        <v>☐ Reliée au Man</v>
      </c>
      <c r="K41" s="265"/>
      <c r="L41" s="223"/>
      <c r="M41" s="439"/>
      <c r="N41" s="380"/>
      <c r="O41" s="307"/>
      <c r="P41" s="215"/>
      <c r="Q41" s="215"/>
    </row>
    <row r="42" spans="1:17" ht="16.25" customHeight="1" x14ac:dyDescent="0.2">
      <c r="A42" s="416"/>
      <c r="B42" s="291"/>
      <c r="C42" s="907" t="str">
        <f>IF((CELL_N_UpgradeUpdate + CELL_N_Software ) = 2,"",LEFT(INDEX(CELL_SoftwareFullNames,CELL_IndexSoftware),FIND(" ",INDEX(CELL_SoftwareFullNames,CELL_IndexSoftware),FIND(" ",INDEX(CELL_SoftwareFullNames,CELL_IndexSoftware))+1)) &amp;
CELL_YearMostRecent )</f>
        <v/>
      </c>
      <c r="D42" s="907"/>
      <c r="E42" s="299"/>
      <c r="F42" s="299"/>
      <c r="G42" s="270" t="str">
        <f>IF(CELL_OptionXL*(CELL_N_Software+CELL_N_UpgradeUpdate-2)&gt;=((ROW(G42)-ROW($G$39))/4+1),"XLCELL "&amp; CELL_YearMostRecent,"")</f>
        <v/>
      </c>
      <c r="H42" s="227"/>
      <c r="I42" s="227"/>
      <c r="J42" s="270" t="str">
        <f>IF(CELL_N_Software-1&gt;=((ROW(G42)-ROW($G$39))/4+1),IF(N_SystemTotal=0,"Software Only",IF(N_STDScanners+N_LAScanners+N_LCScanners=0,"Software Sans Scanner","Software Avec Scanner")),
IF(CELL_N_UpgradeUpdate-1&gt;=((ROW(G42)-ROW($G$39))/4+1)-(CELL_N_Software-1),"Update",""))</f>
        <v/>
      </c>
      <c r="K42" s="227"/>
      <c r="L42" s="221"/>
      <c r="M42" s="221"/>
      <c r="N42" s="221"/>
      <c r="O42" s="377"/>
      <c r="P42" s="215"/>
      <c r="Q42" s="215"/>
    </row>
    <row r="43" spans="1:17" ht="24" customHeight="1" x14ac:dyDescent="0.2">
      <c r="A43" s="428" t="s">
        <v>258</v>
      </c>
      <c r="B43" s="287" t="s">
        <v>258</v>
      </c>
      <c r="C43" s="378" t="str">
        <f>IF(AND(QUOTE_Split_SoftwareHardware,QUOTE_InternetDownload),"",
"☐☐ Win" &amp;
IF(INT((ROW(D43)-10)/30)+1=1,"DEN","")&amp;
IF(INT((ROW(D43)-10)/30)+1=2,"CEL","")&amp;
IF(INT((ROW(D43)-10)/30)+1=3,"RHI","")&amp;
IF(INT((ROW(D43)-10)/30)+1=4,"RT","")&amp;
IF(INT((ROW(D43)-10)/30)+1=5,"FOL","")&amp;
IF(INT((ROW(D43)-10)/30)+1=6,"SEE","")&amp;
IF(INT((ROW(D43)-10)/30)+1=7,"CAM","")&amp;
IF(INT((ROW(D43)-10)/30)+1=8,"SCA","") &amp; ".exe")</f>
        <v>☐☐ WinCEL.exe</v>
      </c>
      <c r="D43" s="378" t="str">
        <f>IF(AND(QUOTE_Split_SoftwareHardware,QUOTE_InternetDownload),"",
 IF(N("If it is Cam, Do not Show XL")+AND(ROW(D43)&gt;=189,ROW(D43)&lt;=218),"","☐ XL" &amp;
IF(INT((ROW(D43)-10)/30)+1=1,"STEM","")&amp;
IF(INT((ROW(D43)-10)/30)+1=2,"Cell","")&amp;
IF(INT((ROW(D43)-10)/30)+1=3,"Rhizo","")&amp;
IF(INT((ROW(D43)-10)/30)+1=4,"RhizoT","")&amp;
IF(INT((ROW(D43)-10)/30)+1=5,"Folia","")&amp;
IF(INT((ROW(D43)-10)/30)+1=6,"Seedle","")&amp;
IF(INT((ROW(D43)-10)/30)+1=7,"Cam","")&amp;
IF(INT((ROW(D43)-10)/30)+1=8,"Scanopy","") &amp; ".xls"))</f>
        <v>☐ XLCell.xls</v>
      </c>
      <c r="E43" s="378" t="s">
        <v>299</v>
      </c>
      <c r="F43" s="379" t="s">
        <v>152</v>
      </c>
      <c r="G43" s="378" t="str">
        <f xml:space="preserve"> IF(N("If it is Cam, Do not Show XL")+AND(ROW(G43)&gt;=189,ROW(G43)&lt;=218),"","☐ XL Man")</f>
        <v>☐ XL Man</v>
      </c>
      <c r="H43" s="379" t="s">
        <v>280</v>
      </c>
      <c r="I43" s="307" t="s">
        <v>274</v>
      </c>
      <c r="J43" s="379" t="str">
        <f>IF(N("Si OR dessous = vrai, pas de box")+OR(
N("1 OR Tron ou CELL")+OR(AND(ROW(E43)&gt;=39,ROW(E43)&lt;=68),AND(ROW(E43)&gt;=99,ROW(E43)&lt;=128)),
N("2 Pas de système scanopy and range opy")+AND(ROW(E43)&gt;=219,ROW(E43)&lt;=248,SCANOPY_N_System&lt;2),
N("3 Avec LC") + IF(AND(IF(PROD_MostPopularScanner="LC",1,0), NOT(AND(ROW(E43)&gt;=129,ROW(E43)&lt;=158)), NOT(AND(ROW(E43)&gt;=189,ROW(E43)&lt;=218))),1,0)
),"","☐ ")
&amp;
IF(N("If it's OPY, put OMount Manual instead")+
AND(ROW(D43)&gt;=219,ROW(D43)&lt;=248),
IF(SCANOPY_N_System&gt;1,
IF(SCANOPY_IndexScanner=1,"α" &amp; SCANOPY_CameraModel,SCANOPY_CameraModel_Mini) &amp; " Man",""),
IF(N("Empty si OR = true . . .If it is Cell or Tron, Do not Show Scanner related items + Hide if LC is favorite on unavailable product")+OR(
AND(ROW(E43)&gt;=39,ROW(E43)&lt;=68),
AND(ROW(E43)&gt;=99,ROW(E43)&lt;=128),
AND(IF(PROD_MostPopularScanner="LC",1,0), NOT(AND(ROW(E43)&gt;=129,ROW(E43)&lt;=158)), NOT(AND(ROW(E43)&gt;=189,ROW(E43)&lt;=218))),
0=1),
    "", IF(1=N("Si système a un scanner différent du Scanner populaire alors différent, sinon Scanner populaire")+AND(NOT(ISERROR(SEARCH("System",J42))),LEFT(J42,2)&lt;&gt;LEFT(PROD_MostPopularScanner,2)),
LEFT(J42,SEARCH("00",J42)-3),
PROD_MostPopularScanner) &amp; " Install Man"))</f>
        <v/>
      </c>
      <c r="K43" s="378" t="str">
        <f>IF(N("If it is Cell or Tron or OPY, Do not Show Twain")+OR(AND(ROW(K43)&gt;=39,ROW(K43)&lt;=68),AND(ROW(K43)&gt;=99,ROW(K43)&lt;=128),AND(ROW(J43)&gt;=219,ROW(J43)&lt;=248)),"","☐ TWAIN")</f>
        <v/>
      </c>
      <c r="L43" s="379" t="str">
        <f>IF(AND(IF(PROD_MostPopularScanner="LC",1,0), NOT(AND(ROW(E43)&gt;=129,ROW(E43)&lt;=158)), NOT(AND(ROW(E43)&gt;=189,ROW(E43)&lt;=218))),"",
IF(N("Si OR dessous = vrai, pas de box")+OR(
N("1 OR Dendro+CELL, Tron+Folia,Cam")+OR(
AND(ROW(K43)&gt;=9,ROW(K43)&lt;=68),
AND(ROW(K43)&gt;=99,ROW(K43)&lt;=158),
AND(ROW(K43)&gt;=189,ROW(K43)&lt;=218)),
N("2 Pas de système scanopy and range opy")+AND(ROW(K43)&gt;=219,ROW(K43)&lt;=248,SCANOPY_N_System&lt;2),
N("3 Avec LC")&amp;IF(ISERROR(LEFT(J42,SEARCH("00",J42)-3)),"",LEFT(J42,SEARCH("00",J42)-3))="LC"),"","☐ ")
&amp;
IF(N("If it's OPY, put OMount Manual instead")+
AND(ROW(J43)&gt;=219,ROW(J43)&lt;=248),
IF(SCANOPY_N_System&gt;1,"OMount Man",""),
IF(N("If it is Dendro+CELL, Tron+Folia or Cam, Do not Show Scanner related items+No Video if LC")+OR(
AND(ROW(K43)&gt;=9,ROW(K43)&lt;=68),
AND(ROW(K43)&gt;=99,ROW(K43)&lt;=158),
AND(ROW(K43)&gt;=189,ROW(K43)&lt;=218),
IF(ISERROR(LEFT(J42,SEARCH("00",J42)-3)),"",LEFT(J42,SEARCH("00",J42)-3))="LC"),
    "", "Video " &amp; IF(1=N("Si système a un scanner différent du Scanner populaire alors différent, sinon Scanner populaire")+AND(NOT(ISERROR(SEARCH("System",J42))),LEFT(J42,2)&lt;&gt;LEFT(PROD_MostPopularScanner,2)),
LEFT(J42,SEARCH("00",J42)-3),
PROD_MostPopularScanner) &amp; " Install"))
)</f>
        <v/>
      </c>
      <c r="M43" s="378" t="str">
        <f>IF(N("If it is Dendro or Tron, Do not Show Color Analysis Video")+
OR(AND(ROW(L43)&gt;=9,ROW(L43)&lt;=38),
AND(ROW(L43)&gt;=99,ROW(L43)&lt;=128)), "","☐ Video ClrAna")</f>
        <v>☐ Video ClrAna</v>
      </c>
      <c r="N43" s="379" t="str">
        <f>IF(OR(INT((ROW(D43)-10)/30)+1=2,INT((ROW(D43)-10)/30)+1=4),"","☐ ")&amp;
IF(INT((ROW(D43)-10)/30)+1=1,"Scanner.cal","")&amp;
IF(INT((ROW(D43)-10)/30)+1=2,"","")&amp;
IF(INT((ROW(D43)-10)/30)+1=3,"Scanner.cal","")&amp;
IF(INT((ROW(D43)-10)/30)+1=4,"","")&amp;
IF(INT((ROW(D43)-10)/30)+1=5,"Scanner.cal","")&amp;
IF(INT((ROW(D43)-10)/30)+1=6,"Scanner.cal","")&amp;
IF(INT((ROW(D43)-10)/30)+1=7,"Scanner.cal","")&amp;
IF(INT((ROW(D43)-10)/30)+1=8,"Indiv" &amp; " Lens.cal","")</f>
        <v/>
      </c>
      <c r="O43" s="307" t="str">
        <f>IF(AND(ROW(L43)&gt;=9,ROW(L43)&lt;=38),"☐ RegentTarget.blu","")</f>
        <v/>
      </c>
      <c r="P43" s="215"/>
      <c r="Q43" s="215"/>
    </row>
    <row r="44" spans="1:17" ht="24" customHeight="1" x14ac:dyDescent="0.2">
      <c r="A44" s="428" t="s">
        <v>259</v>
      </c>
      <c r="B44" s="224" t="s">
        <v>259</v>
      </c>
      <c r="C44" s="307" t="s">
        <v>152</v>
      </c>
      <c r="D44" s="307" t="str">
        <f xml:space="preserve"> IF(N("If it is Cam, Do not Show XL")+AND(ROW(D44)&gt;=189,ROW(D44)&lt;=218),"","☐ XL Man")</f>
        <v>☐ XL Man</v>
      </c>
      <c r="E44" s="437" t="str">
        <f>IF(N("Si OR dessous = vrai, pas de box")+OR(
N("1 OR Tron ou CELL")+OR(AND(ROW(K43)&gt;=39,ROW(K43)&lt;=68),AND(ROW(K43)&gt;=99,ROW(K43)&lt;=128)),
N("2 Pas de système scanopy and range opy")+AND(ROW(K43)&gt;=219,ROW(K43)&lt;=248,SCANOPY_N_System&lt;2),
N("3 Avec LC")&amp;IF(ISERROR(LEFT(J42,SEARCH("00",J42)-3)),"",LEFT(J42,SEARCH("00",J42)-3))="LC"),"","☐ ")
&amp;
IF(N("If it's OPY, put OMount Manual instead")+
AND(ROW(J43)&gt;=219,ROW(J43)&lt;=248),
IF(SCANOPY_N_System&gt;1,"OMount Man",""),
IF(N("If it is Cell or Tron, Do not Show Scanner related items")+OR(
AND(ROW(K43)&gt;=39,ROW(K43)&lt;=68),
AND(ROW(K43)&gt;=99,ROW(K43)&lt;=128)),
    "", IF(1=N("Si système a un scanner différent du Scanner populaire alors différent, sinon Scanner populaire")+AND(NOT(ISERROR(SEARCH("System",J42))),LEFT(J42,2)&lt;&gt;LEFT(PROD_MostPopularScanner,2)),
LEFT(J42,SEARCH("00",J42)-3),
PROD_MostPopularScanner) &amp; " Install Man"))</f>
        <v/>
      </c>
      <c r="F44" s="380" t="s">
        <v>275</v>
      </c>
      <c r="G44" s="307" t="s">
        <v>274</v>
      </c>
      <c r="H44" s="439" t="s">
        <v>250</v>
      </c>
      <c r="I44" s="381"/>
      <c r="J44" s="307" t="str">
        <f ca="1">IF(AND(
INDIRECT(
IF(INT((ROW(D44)-10)/30)+1=1,"DENDRO","")&amp;
IF(INT((ROW(D44)-10)/30)+1=2,"CELL","")&amp;
IF(INT((ROW(D44)-10)/30)+1=3,"RHIZO","")&amp;
IF(INT((ROW(D44)-10)/30)+1=4,"RHIZOTRON","")&amp;
IF(INT((ROW(D44)-10)/30)+1=5,"FOLIA","")&amp;
IF(INT((ROW(D44)-10)/30)+1=6,"SEEDLE","")&amp;
IF(INT((ROW(D44)-10)/30)+1=7,"CAM","")&amp;
IF(INT((ROW(D44)-10)/30)+1=8,"SCANOPY","") &amp; "_ChkB_RemoteUpdate"),
INDIRECT(
IF(INT((ROW(D44)-10)/30)+1=1,"DENDRO","")&amp;
IF(INT((ROW(D44)-10)/30)+1=2,"CELL","")&amp;
IF(INT((ROW(D44)-10)/30)+1=3,"RHIZO","")&amp;
IF(INT((ROW(D44)-10)/30)+1=4,"RHIZOTRON","")&amp;
IF(INT((ROW(D44)-10)/30)+1=5,"FOLIA","")&amp;
IF(INT((ROW(D44)-10)/30)+1=6,"SEEDLE","")&amp;
IF(INT((ROW(D44)-10)/30)+1=7,"CAM","")&amp;
IF(INT((ROW(D44)-10)/30)+1=8,"SCANOPY","") &amp; "_ChkBox_UpgradeUpdate")),
"Clé de bois ou Download. Reprogrammation clé client",
"☐ " &amp; IF(AND(QUOTE_Split_SoftwareHardware,QUOTE_InternetDownload),"Man ds env. ""Documents"", Clé ds bulle collée sur env.","Reliée au Man"))</f>
        <v>☐ Reliée au Man</v>
      </c>
      <c r="K44" s="265"/>
      <c r="L44" s="223"/>
      <c r="M44" s="439"/>
      <c r="N44" s="380"/>
      <c r="O44" s="307"/>
      <c r="P44" s="215"/>
      <c r="Q44" s="215"/>
    </row>
    <row r="45" spans="1:17" ht="16.25" customHeight="1" x14ac:dyDescent="0.2">
      <c r="A45" s="416"/>
      <c r="B45" s="291"/>
      <c r="C45" s="907" t="str">
        <f>IF((CELL_N_UpgradeUpdate + CELL_N_Software ) = 2,"",LEFT(INDEX(CELL_SoftwareFullNames,CELL_IndexSoftware),FIND(" ",INDEX(CELL_SoftwareFullNames,CELL_IndexSoftware),FIND(" ",INDEX(CELL_SoftwareFullNames,CELL_IndexSoftware))+1)) &amp;
CELL_YearMostRecent )</f>
        <v/>
      </c>
      <c r="D45" s="907"/>
      <c r="E45" s="299"/>
      <c r="F45" s="299"/>
      <c r="G45" s="270" t="str">
        <f>IF(CELL_OptionXL*(CELL_N_Software+CELL_N_UpgradeUpdate-2)&gt;=((ROW(G45)-ROW($G$39))/4+1),"XLCELL "&amp; CELL_YearMostRecent,"")</f>
        <v/>
      </c>
      <c r="H45" s="227"/>
      <c r="I45" s="227"/>
      <c r="J45" s="270" t="str">
        <f>IF(CELL_N_Software-1&gt;=((ROW(G45)-ROW($G$39))/4+1),IF(N_SystemTotal=0,"Software Only",IF(N_STDScanners+N_LAScanners+N_LCScanners=0,"Software Sans Scanner","Software Avec Scanner")),
IF(CELL_N_UpgradeUpdate-1&gt;=((ROW(G45)-ROW($G$39))/4+1)-(CELL_N_Software-1),"Update",""))</f>
        <v/>
      </c>
      <c r="K45" s="227"/>
      <c r="L45" s="221"/>
      <c r="M45" s="221"/>
      <c r="N45" s="221"/>
      <c r="O45" s="377"/>
      <c r="P45" s="215"/>
      <c r="Q45" s="215"/>
    </row>
    <row r="46" spans="1:17" ht="24" customHeight="1" x14ac:dyDescent="0.2">
      <c r="A46" s="428" t="s">
        <v>258</v>
      </c>
      <c r="B46" s="287" t="s">
        <v>258</v>
      </c>
      <c r="C46" s="378" t="str">
        <f>IF(AND(QUOTE_Split_SoftwareHardware,QUOTE_InternetDownload),"",
"☐☐ Win" &amp;
IF(INT((ROW(D46)-10)/30)+1=1,"DEN","")&amp;
IF(INT((ROW(D46)-10)/30)+1=2,"CEL","")&amp;
IF(INT((ROW(D46)-10)/30)+1=3,"RHI","")&amp;
IF(INT((ROW(D46)-10)/30)+1=4,"RT","")&amp;
IF(INT((ROW(D46)-10)/30)+1=5,"FOL","")&amp;
IF(INT((ROW(D46)-10)/30)+1=6,"SEE","")&amp;
IF(INT((ROW(D46)-10)/30)+1=7,"CAM","")&amp;
IF(INT((ROW(D46)-10)/30)+1=8,"SCA","") &amp; ".exe")</f>
        <v>☐☐ WinCEL.exe</v>
      </c>
      <c r="D46" s="378" t="str">
        <f>IF(AND(QUOTE_Split_SoftwareHardware,QUOTE_InternetDownload),"",
 IF(N("If it is Cam, Do not Show XL")+AND(ROW(D46)&gt;=189,ROW(D46)&lt;=218),"","☐ XL" &amp;
IF(INT((ROW(D46)-10)/30)+1=1,"STEM","")&amp;
IF(INT((ROW(D46)-10)/30)+1=2,"Cell","")&amp;
IF(INT((ROW(D46)-10)/30)+1=3,"Rhizo","")&amp;
IF(INT((ROW(D46)-10)/30)+1=4,"RhizoT","")&amp;
IF(INT((ROW(D46)-10)/30)+1=5,"Folia","")&amp;
IF(INT((ROW(D46)-10)/30)+1=6,"Seedle","")&amp;
IF(INT((ROW(D46)-10)/30)+1=7,"Cam","")&amp;
IF(INT((ROW(D46)-10)/30)+1=8,"Scanopy","") &amp; ".xls"))</f>
        <v>☐ XLCell.xls</v>
      </c>
      <c r="E46" s="378" t="s">
        <v>299</v>
      </c>
      <c r="F46" s="379" t="s">
        <v>152</v>
      </c>
      <c r="G46" s="378" t="str">
        <f xml:space="preserve"> IF(N("If it is Cam, Do not Show XL")+AND(ROW(G46)&gt;=189,ROW(G46)&lt;=218),"","☐ XL Man")</f>
        <v>☐ XL Man</v>
      </c>
      <c r="H46" s="379" t="s">
        <v>280</v>
      </c>
      <c r="I46" s="307" t="s">
        <v>274</v>
      </c>
      <c r="J46" s="379" t="str">
        <f>IF(N("Si OR dessous = vrai, pas de box")+OR(
N("1 OR Tron ou CELL")+OR(AND(ROW(E46)&gt;=39,ROW(E46)&lt;=68),AND(ROW(E46)&gt;=99,ROW(E46)&lt;=128)),
N("2 Pas de système scanopy and range opy")+AND(ROW(E46)&gt;=219,ROW(E46)&lt;=248,SCANOPY_N_System&lt;2),
N("3 Avec LC") + IF(AND(IF(PROD_MostPopularScanner="LC",1,0), NOT(AND(ROW(E46)&gt;=129,ROW(E46)&lt;=158)), NOT(AND(ROW(E46)&gt;=189,ROW(E46)&lt;=218))),1,0)
),"","☐ ")
&amp;
IF(N("If it's OPY, put OMount Manual instead")+
AND(ROW(D46)&gt;=219,ROW(D46)&lt;=248),
IF(SCANOPY_N_System&gt;1,
IF(SCANOPY_IndexScanner=1,"α" &amp; SCANOPY_CameraModel,SCANOPY_CameraModel_Mini) &amp; " Man",""),
IF(N("Empty si OR = true . . .If it is Cell or Tron, Do not Show Scanner related items + Hide if LC is favorite on unavailable product")+OR(
AND(ROW(E46)&gt;=39,ROW(E46)&lt;=68),
AND(ROW(E46)&gt;=99,ROW(E46)&lt;=128),
AND(IF(PROD_MostPopularScanner="LC",1,0), NOT(AND(ROW(E46)&gt;=129,ROW(E46)&lt;=158)), NOT(AND(ROW(E46)&gt;=189,ROW(E46)&lt;=218))),
0=1),
    "", IF(1=N("Si système a un scanner différent du Scanner populaire alors différent, sinon Scanner populaire")+AND(NOT(ISERROR(SEARCH("System",J45))),LEFT(J45,2)&lt;&gt;LEFT(PROD_MostPopularScanner,2)),
LEFT(J45,SEARCH("00",J45)-3),
PROD_MostPopularScanner) &amp; " Install Man"))</f>
        <v/>
      </c>
      <c r="K46" s="378" t="str">
        <f>IF(N("If it is Cell or Tron or OPY, Do not Show Twain")+OR(AND(ROW(K46)&gt;=39,ROW(K46)&lt;=68),AND(ROW(K46)&gt;=99,ROW(K46)&lt;=128),AND(ROW(J46)&gt;=219,ROW(J46)&lt;=248)),"","☐ TWAIN")</f>
        <v/>
      </c>
      <c r="L46" s="379" t="str">
        <f>IF(AND(IF(PROD_MostPopularScanner="LC",1,0), NOT(AND(ROW(E46)&gt;=129,ROW(E46)&lt;=158)), NOT(AND(ROW(E46)&gt;=189,ROW(E46)&lt;=218))),"",
IF(N("Si OR dessous = vrai, pas de box")+OR(
N("1 OR Dendro+CELL, Tron+Folia,Cam")+OR(
AND(ROW(K46)&gt;=9,ROW(K46)&lt;=68),
AND(ROW(K46)&gt;=99,ROW(K46)&lt;=158),
AND(ROW(K46)&gt;=189,ROW(K46)&lt;=218)),
N("2 Pas de système scanopy and range opy")+AND(ROW(K46)&gt;=219,ROW(K46)&lt;=248,SCANOPY_N_System&lt;2),
N("3 Avec LC")&amp;IF(ISERROR(LEFT(J45,SEARCH("00",J45)-3)),"",LEFT(J45,SEARCH("00",J45)-3))="LC"),"","☐ ")
&amp;
IF(N("If it's OPY, put OMount Manual instead")+
AND(ROW(J46)&gt;=219,ROW(J46)&lt;=248),
IF(SCANOPY_N_System&gt;1,"OMount Man",""),
IF(N("If it is Dendro+CELL, Tron+Folia or Cam, Do not Show Scanner related items+No Video if LC")+OR(
AND(ROW(K46)&gt;=9,ROW(K46)&lt;=68),
AND(ROW(K46)&gt;=99,ROW(K46)&lt;=158),
AND(ROW(K46)&gt;=189,ROW(K46)&lt;=218),
IF(ISERROR(LEFT(J45,SEARCH("00",J45)-3)),"",LEFT(J45,SEARCH("00",J45)-3))="LC"),
    "", "Video " &amp; IF(1=N("Si système a un scanner différent du Scanner populaire alors différent, sinon Scanner populaire")+AND(NOT(ISERROR(SEARCH("System",J45))),LEFT(J45,2)&lt;&gt;LEFT(PROD_MostPopularScanner,2)),
LEFT(J45,SEARCH("00",J45)-3),
PROD_MostPopularScanner) &amp; " Install"))
)</f>
        <v/>
      </c>
      <c r="M46" s="378" t="str">
        <f>IF(N("If it is Dendro or Tron, Do not Show Color Analysis Video")+
OR(AND(ROW(L46)&gt;=9,ROW(L46)&lt;=38),
AND(ROW(L46)&gt;=99,ROW(L46)&lt;=128)), "","☐ Video ClrAna")</f>
        <v>☐ Video ClrAna</v>
      </c>
      <c r="N46" s="379" t="str">
        <f>IF(OR(INT((ROW(D46)-10)/30)+1=2,INT((ROW(D46)-10)/30)+1=4),"","☐ ")&amp;
IF(INT((ROW(D46)-10)/30)+1=1,"Scanner.cal","")&amp;
IF(INT((ROW(D46)-10)/30)+1=2,"","")&amp;
IF(INT((ROW(D46)-10)/30)+1=3,"Scanner.cal","")&amp;
IF(INT((ROW(D46)-10)/30)+1=4,"","")&amp;
IF(INT((ROW(D46)-10)/30)+1=5,"Scanner.cal","")&amp;
IF(INT((ROW(D46)-10)/30)+1=6,"Scanner.cal","")&amp;
IF(INT((ROW(D46)-10)/30)+1=7,"Scanner.cal","")&amp;
IF(INT((ROW(D46)-10)/30)+1=8,"Indiv" &amp; " Lens.cal","")</f>
        <v/>
      </c>
      <c r="O46" s="307" t="str">
        <f>IF(AND(ROW(L46)&gt;=9,ROW(L46)&lt;=38),"☐ RegentTarget.blu","")</f>
        <v/>
      </c>
      <c r="P46" s="215"/>
      <c r="Q46" s="215"/>
    </row>
    <row r="47" spans="1:17" ht="24" customHeight="1" x14ac:dyDescent="0.2">
      <c r="A47" s="428" t="s">
        <v>259</v>
      </c>
      <c r="B47" s="224" t="s">
        <v>259</v>
      </c>
      <c r="C47" s="307" t="s">
        <v>152</v>
      </c>
      <c r="D47" s="307" t="str">
        <f xml:space="preserve"> IF(N("If it is Cam, Do not Show XL")+AND(ROW(D47)&gt;=189,ROW(D47)&lt;=218),"","☐ XL Man")</f>
        <v>☐ XL Man</v>
      </c>
      <c r="E47" s="437" t="str">
        <f>IF(N("Si OR dessous = vrai, pas de box")+OR(
N("1 OR Tron ou CELL")+OR(AND(ROW(K46)&gt;=39,ROW(K46)&lt;=68),AND(ROW(K46)&gt;=99,ROW(K46)&lt;=128)),
N("2 Pas de système scanopy and range opy")+AND(ROW(K46)&gt;=219,ROW(K46)&lt;=248,SCANOPY_N_System&lt;2),
N("3 Avec LC")&amp;IF(ISERROR(LEFT(J45,SEARCH("00",J45)-3)),"",LEFT(J45,SEARCH("00",J45)-3))="LC"),"","☐ ")
&amp;
IF(N("If it's OPY, put OMount Manual instead")+
AND(ROW(J46)&gt;=219,ROW(J46)&lt;=248),
IF(SCANOPY_N_System&gt;1,"OMount Man",""),
IF(N("If it is Cell or Tron, Do not Show Scanner related items")+OR(
AND(ROW(K46)&gt;=39,ROW(K46)&lt;=68),
AND(ROW(K46)&gt;=99,ROW(K46)&lt;=128)),
    "", IF(1=N("Si système a un scanner différent du Scanner populaire alors différent, sinon Scanner populaire")+AND(NOT(ISERROR(SEARCH("System",J45))),LEFT(J45,2)&lt;&gt;LEFT(PROD_MostPopularScanner,2)),
LEFT(J45,SEARCH("00",J45)-3),
PROD_MostPopularScanner) &amp; " Install Man"))</f>
        <v/>
      </c>
      <c r="F47" s="380" t="s">
        <v>275</v>
      </c>
      <c r="G47" s="307" t="s">
        <v>274</v>
      </c>
      <c r="H47" s="439" t="s">
        <v>250</v>
      </c>
      <c r="I47" s="381"/>
      <c r="J47" s="307" t="str">
        <f ca="1">IF(AND(
INDIRECT(
IF(INT((ROW(D47)-10)/30)+1=1,"DENDRO","")&amp;
IF(INT((ROW(D47)-10)/30)+1=2,"CELL","")&amp;
IF(INT((ROW(D47)-10)/30)+1=3,"RHIZO","")&amp;
IF(INT((ROW(D47)-10)/30)+1=4,"RHIZOTRON","")&amp;
IF(INT((ROW(D47)-10)/30)+1=5,"FOLIA","")&amp;
IF(INT((ROW(D47)-10)/30)+1=6,"SEEDLE","")&amp;
IF(INT((ROW(D47)-10)/30)+1=7,"CAM","")&amp;
IF(INT((ROW(D47)-10)/30)+1=8,"SCANOPY","") &amp; "_ChkB_RemoteUpdate"),
INDIRECT(
IF(INT((ROW(D47)-10)/30)+1=1,"DENDRO","")&amp;
IF(INT((ROW(D47)-10)/30)+1=2,"CELL","")&amp;
IF(INT((ROW(D47)-10)/30)+1=3,"RHIZO","")&amp;
IF(INT((ROW(D47)-10)/30)+1=4,"RHIZOTRON","")&amp;
IF(INT((ROW(D47)-10)/30)+1=5,"FOLIA","")&amp;
IF(INT((ROW(D47)-10)/30)+1=6,"SEEDLE","")&amp;
IF(INT((ROW(D47)-10)/30)+1=7,"CAM","")&amp;
IF(INT((ROW(D47)-10)/30)+1=8,"SCANOPY","") &amp; "_ChkBox_UpgradeUpdate")),
"Clé de bois ou Download. Reprogrammation clé client",
"☐ " &amp; IF(AND(QUOTE_Split_SoftwareHardware,QUOTE_InternetDownload),"Man ds env. ""Documents"", Clé ds bulle collée sur env.","Reliée au Man"))</f>
        <v>☐ Reliée au Man</v>
      </c>
      <c r="K47" s="265"/>
      <c r="L47" s="223"/>
      <c r="M47" s="439"/>
      <c r="N47" s="380"/>
      <c r="O47" s="307"/>
      <c r="P47" s="215"/>
      <c r="Q47" s="215"/>
    </row>
    <row r="48" spans="1:17" ht="16.25" customHeight="1" x14ac:dyDescent="0.2">
      <c r="A48" s="416"/>
      <c r="B48" s="291"/>
      <c r="C48" s="907" t="str">
        <f>IF((CELL_N_UpgradeUpdate + CELL_N_Software ) = 2,"",LEFT(INDEX(CELL_SoftwareFullNames,CELL_IndexSoftware),FIND(" ",INDEX(CELL_SoftwareFullNames,CELL_IndexSoftware),FIND(" ",INDEX(CELL_SoftwareFullNames,CELL_IndexSoftware))+1)) &amp;
CELL_YearMostRecent )</f>
        <v/>
      </c>
      <c r="D48" s="907"/>
      <c r="E48" s="299"/>
      <c r="F48" s="299"/>
      <c r="G48" s="270" t="str">
        <f>IF(CELL_OptionXL*(CELL_N_Software+CELL_N_UpgradeUpdate-2)&gt;=((ROW(G48)-ROW($G$39))/4+1),"XLCELL "&amp; CELL_YearMostRecent,"")</f>
        <v/>
      </c>
      <c r="H48" s="227"/>
      <c r="I48" s="227"/>
      <c r="J48" s="270" t="str">
        <f>IF(CELL_N_Software-1&gt;=((ROW(G48)-ROW($G$39))/4+1),IF(N_SystemTotal=0,"Software Only",IF(N_STDScanners+N_LAScanners+N_LCScanners=0,"Software Sans Scanner","Software Avec Scanner")),
IF(CELL_N_UpgradeUpdate-1&gt;=((ROW(G48)-ROW($G$39))/4+1)-(CELL_N_Software-1),"Update",""))</f>
        <v/>
      </c>
      <c r="K48" s="227"/>
      <c r="L48" s="221"/>
      <c r="M48" s="221"/>
      <c r="N48" s="221"/>
      <c r="O48" s="377"/>
      <c r="P48" s="215"/>
      <c r="Q48" s="215"/>
    </row>
    <row r="49" spans="1:17" ht="24" customHeight="1" x14ac:dyDescent="0.2">
      <c r="A49" s="428" t="s">
        <v>258</v>
      </c>
      <c r="B49" s="287" t="s">
        <v>258</v>
      </c>
      <c r="C49" s="378" t="str">
        <f>IF(AND(QUOTE_Split_SoftwareHardware,QUOTE_InternetDownload),"",
"☐☐ Win" &amp;
IF(INT((ROW(D49)-10)/30)+1=1,"DEN","")&amp;
IF(INT((ROW(D49)-10)/30)+1=2,"CEL","")&amp;
IF(INT((ROW(D49)-10)/30)+1=3,"RHI","")&amp;
IF(INT((ROW(D49)-10)/30)+1=4,"RT","")&amp;
IF(INT((ROW(D49)-10)/30)+1=5,"FOL","")&amp;
IF(INT((ROW(D49)-10)/30)+1=6,"SEE","")&amp;
IF(INT((ROW(D49)-10)/30)+1=7,"CAM","")&amp;
IF(INT((ROW(D49)-10)/30)+1=8,"SCA","") &amp; ".exe")</f>
        <v>☐☐ WinCEL.exe</v>
      </c>
      <c r="D49" s="378" t="str">
        <f>IF(AND(QUOTE_Split_SoftwareHardware,QUOTE_InternetDownload),"",
 IF(N("If it is Cam, Do not Show XL")+AND(ROW(D49)&gt;=189,ROW(D49)&lt;=218),"","☐ XL" &amp;
IF(INT((ROW(D49)-10)/30)+1=1,"STEM","")&amp;
IF(INT((ROW(D49)-10)/30)+1=2,"Cell","")&amp;
IF(INT((ROW(D49)-10)/30)+1=3,"Rhizo","")&amp;
IF(INT((ROW(D49)-10)/30)+1=4,"RhizoT","")&amp;
IF(INT((ROW(D49)-10)/30)+1=5,"Folia","")&amp;
IF(INT((ROW(D49)-10)/30)+1=6,"Seedle","")&amp;
IF(INT((ROW(D49)-10)/30)+1=7,"Cam","")&amp;
IF(INT((ROW(D49)-10)/30)+1=8,"Scanopy","") &amp; ".xls"))</f>
        <v>☐ XLCell.xls</v>
      </c>
      <c r="E49" s="378" t="s">
        <v>299</v>
      </c>
      <c r="F49" s="379" t="s">
        <v>152</v>
      </c>
      <c r="G49" s="378" t="str">
        <f xml:space="preserve"> IF(N("If it is Cam, Do not Show XL")+AND(ROW(G49)&gt;=189,ROW(G49)&lt;=218),"","☐ XL Man")</f>
        <v>☐ XL Man</v>
      </c>
      <c r="H49" s="379" t="s">
        <v>280</v>
      </c>
      <c r="I49" s="307" t="s">
        <v>274</v>
      </c>
      <c r="J49" s="379" t="str">
        <f>IF(N("Si OR dessous = vrai, pas de box")+OR(
N("1 OR Tron ou CELL")+OR(AND(ROW(E49)&gt;=39,ROW(E49)&lt;=68),AND(ROW(E49)&gt;=99,ROW(E49)&lt;=128)),
N("2 Pas de système scanopy and range opy")+AND(ROW(E49)&gt;=219,ROW(E49)&lt;=248,SCANOPY_N_System&lt;2),
N("3 Avec LC") + IF(AND(IF(PROD_MostPopularScanner="LC",1,0), NOT(AND(ROW(E49)&gt;=129,ROW(E49)&lt;=158)), NOT(AND(ROW(E49)&gt;=189,ROW(E49)&lt;=218))),1,0)
),"","☐ ")
&amp;
IF(N("If it's OPY, put OMount Manual instead")+
AND(ROW(D49)&gt;=219,ROW(D49)&lt;=248),
IF(SCANOPY_N_System&gt;1,
IF(SCANOPY_IndexScanner=1,"α" &amp; SCANOPY_CameraModel,SCANOPY_CameraModel_Mini) &amp; " Man",""),
IF(N("Empty si OR = true . . .If it is Cell or Tron, Do not Show Scanner related items + Hide if LC is favorite on unavailable product")+OR(
AND(ROW(E49)&gt;=39,ROW(E49)&lt;=68),
AND(ROW(E49)&gt;=99,ROW(E49)&lt;=128),
AND(IF(PROD_MostPopularScanner="LC",1,0), NOT(AND(ROW(E49)&gt;=129,ROW(E49)&lt;=158)), NOT(AND(ROW(E49)&gt;=189,ROW(E49)&lt;=218))),
0=1),
    "", IF(1=N("Si système a un scanner différent du Scanner populaire alors différent, sinon Scanner populaire")+AND(NOT(ISERROR(SEARCH("System",J48))),LEFT(J48,2)&lt;&gt;LEFT(PROD_MostPopularScanner,2)),
LEFT(J48,SEARCH("00",J48)-3),
PROD_MostPopularScanner) &amp; " Install Man"))</f>
        <v/>
      </c>
      <c r="K49" s="378" t="str">
        <f>IF(N("If it is Cell or Tron or OPY, Do not Show Twain")+OR(AND(ROW(K49)&gt;=39,ROW(K49)&lt;=68),AND(ROW(K49)&gt;=99,ROW(K49)&lt;=128),AND(ROW(J49)&gt;=219,ROW(J49)&lt;=248)),"","☐ TWAIN")</f>
        <v/>
      </c>
      <c r="L49" s="379" t="str">
        <f>IF(AND(IF(PROD_MostPopularScanner="LC",1,0), NOT(AND(ROW(E49)&gt;=129,ROW(E49)&lt;=158)), NOT(AND(ROW(E49)&gt;=189,ROW(E49)&lt;=218))),"",
IF(N("Si OR dessous = vrai, pas de box")+OR(
N("1 OR Dendro+CELL, Tron+Folia,Cam")+OR(
AND(ROW(K49)&gt;=9,ROW(K49)&lt;=68),
AND(ROW(K49)&gt;=99,ROW(K49)&lt;=158),
AND(ROW(K49)&gt;=189,ROW(K49)&lt;=218)),
N("2 Pas de système scanopy and range opy")+AND(ROW(K49)&gt;=219,ROW(K49)&lt;=248,SCANOPY_N_System&lt;2),
N("3 Avec LC")&amp;IF(ISERROR(LEFT(J48,SEARCH("00",J48)-3)),"",LEFT(J48,SEARCH("00",J48)-3))="LC"),"","☐ ")
&amp;
IF(N("If it's OPY, put OMount Manual instead")+
AND(ROW(J49)&gt;=219,ROW(J49)&lt;=248),
IF(SCANOPY_N_System&gt;1,"OMount Man",""),
IF(N("If it is Dendro+CELL, Tron+Folia or Cam, Do not Show Scanner related items+No Video if LC")+OR(
AND(ROW(K49)&gt;=9,ROW(K49)&lt;=68),
AND(ROW(K49)&gt;=99,ROW(K49)&lt;=158),
AND(ROW(K49)&gt;=189,ROW(K49)&lt;=218),
IF(ISERROR(LEFT(J48,SEARCH("00",J48)-3)),"",LEFT(J48,SEARCH("00",J48)-3))="LC"),
    "", "Video " &amp; IF(1=N("Si système a un scanner différent du Scanner populaire alors différent, sinon Scanner populaire")+AND(NOT(ISERROR(SEARCH("System",J48))),LEFT(J48,2)&lt;&gt;LEFT(PROD_MostPopularScanner,2)),
LEFT(J48,SEARCH("00",J48)-3),
PROD_MostPopularScanner) &amp; " Install"))
)</f>
        <v/>
      </c>
      <c r="M49" s="378" t="str">
        <f>IF(N("If it is Dendro or Tron, Do not Show Color Analysis Video")+
OR(AND(ROW(L49)&gt;=9,ROW(L49)&lt;=38),
AND(ROW(L49)&gt;=99,ROW(L49)&lt;=128)), "","☐ Video ClrAna")</f>
        <v>☐ Video ClrAna</v>
      </c>
      <c r="N49" s="379" t="str">
        <f>IF(OR(INT((ROW(D49)-10)/30)+1=2,INT((ROW(D49)-10)/30)+1=4),"","☐ ")&amp;
IF(INT((ROW(D49)-10)/30)+1=1,"Scanner.cal","")&amp;
IF(INT((ROW(D49)-10)/30)+1=2,"","")&amp;
IF(INT((ROW(D49)-10)/30)+1=3,"Scanner.cal","")&amp;
IF(INT((ROW(D49)-10)/30)+1=4,"","")&amp;
IF(INT((ROW(D49)-10)/30)+1=5,"Scanner.cal","")&amp;
IF(INT((ROW(D49)-10)/30)+1=6,"Scanner.cal","")&amp;
IF(INT((ROW(D49)-10)/30)+1=7,"Scanner.cal","")&amp;
IF(INT((ROW(D49)-10)/30)+1=8,"Indiv" &amp; " Lens.cal","")</f>
        <v/>
      </c>
      <c r="O49" s="307" t="str">
        <f>IF(AND(ROW(L49)&gt;=9,ROW(L49)&lt;=38),"☐ RegentTarget.blu","")</f>
        <v/>
      </c>
      <c r="P49" s="215"/>
      <c r="Q49" s="215"/>
    </row>
    <row r="50" spans="1:17" ht="24" customHeight="1" x14ac:dyDescent="0.2">
      <c r="A50" s="428" t="s">
        <v>259</v>
      </c>
      <c r="B50" s="224" t="s">
        <v>259</v>
      </c>
      <c r="C50" s="307" t="s">
        <v>152</v>
      </c>
      <c r="D50" s="307" t="str">
        <f xml:space="preserve"> IF(N("If it is Cam, Do not Show XL")+AND(ROW(D50)&gt;=189,ROW(D50)&lt;=218),"","☐ XL Man")</f>
        <v>☐ XL Man</v>
      </c>
      <c r="E50" s="437" t="str">
        <f>IF(N("Si OR dessous = vrai, pas de box")+OR(
N("1 OR Tron ou CELL")+OR(AND(ROW(K49)&gt;=39,ROW(K49)&lt;=68),AND(ROW(K49)&gt;=99,ROW(K49)&lt;=128)),
N("2 Pas de système scanopy and range opy")+AND(ROW(K49)&gt;=219,ROW(K49)&lt;=248,SCANOPY_N_System&lt;2),
N("3 Avec LC")&amp;IF(ISERROR(LEFT(J48,SEARCH("00",J48)-3)),"",LEFT(J48,SEARCH("00",J48)-3))="LC"),"","☐ ")
&amp;
IF(N("If it's OPY, put OMount Manual instead")+
AND(ROW(J49)&gt;=219,ROW(J49)&lt;=248),
IF(SCANOPY_N_System&gt;1,"OMount Man",""),
IF(N("If it is Cell or Tron, Do not Show Scanner related items")+OR(
AND(ROW(K49)&gt;=39,ROW(K49)&lt;=68),
AND(ROW(K49)&gt;=99,ROW(K49)&lt;=128)),
    "", IF(1=N("Si système a un scanner différent du Scanner populaire alors différent, sinon Scanner populaire")+AND(NOT(ISERROR(SEARCH("System",J48))),LEFT(J48,2)&lt;&gt;LEFT(PROD_MostPopularScanner,2)),
LEFT(J48,SEARCH("00",J48)-3),
PROD_MostPopularScanner) &amp; " Install Man"))</f>
        <v/>
      </c>
      <c r="F50" s="380" t="s">
        <v>275</v>
      </c>
      <c r="G50" s="307" t="s">
        <v>274</v>
      </c>
      <c r="H50" s="439" t="s">
        <v>250</v>
      </c>
      <c r="I50" s="381"/>
      <c r="J50" s="307" t="str">
        <f ca="1">IF(AND(
INDIRECT(
IF(INT((ROW(D50)-10)/30)+1=1,"DENDRO","")&amp;
IF(INT((ROW(D50)-10)/30)+1=2,"CELL","")&amp;
IF(INT((ROW(D50)-10)/30)+1=3,"RHIZO","")&amp;
IF(INT((ROW(D50)-10)/30)+1=4,"RHIZOTRON","")&amp;
IF(INT((ROW(D50)-10)/30)+1=5,"FOLIA","")&amp;
IF(INT((ROW(D50)-10)/30)+1=6,"SEEDLE","")&amp;
IF(INT((ROW(D50)-10)/30)+1=7,"CAM","")&amp;
IF(INT((ROW(D50)-10)/30)+1=8,"SCANOPY","") &amp; "_ChkB_RemoteUpdate"),
INDIRECT(
IF(INT((ROW(D50)-10)/30)+1=1,"DENDRO","")&amp;
IF(INT((ROW(D50)-10)/30)+1=2,"CELL","")&amp;
IF(INT((ROW(D50)-10)/30)+1=3,"RHIZO","")&amp;
IF(INT((ROW(D50)-10)/30)+1=4,"RHIZOTRON","")&amp;
IF(INT((ROW(D50)-10)/30)+1=5,"FOLIA","")&amp;
IF(INT((ROW(D50)-10)/30)+1=6,"SEEDLE","")&amp;
IF(INT((ROW(D50)-10)/30)+1=7,"CAM","")&amp;
IF(INT((ROW(D50)-10)/30)+1=8,"SCANOPY","") &amp; "_ChkBox_UpgradeUpdate")),
"Clé de bois ou Download. Reprogrammation clé client",
"☐ " &amp; IF(AND(QUOTE_Split_SoftwareHardware,QUOTE_InternetDownload),"Man ds env. ""Documents"", Clé ds bulle collée sur env.","Reliée au Man"))</f>
        <v>☐ Reliée au Man</v>
      </c>
      <c r="K50" s="265"/>
      <c r="L50" s="223"/>
      <c r="M50" s="439"/>
      <c r="N50" s="380"/>
      <c r="O50" s="307"/>
      <c r="P50" s="215"/>
      <c r="Q50" s="215"/>
    </row>
    <row r="51" spans="1:17" ht="16.25" customHeight="1" x14ac:dyDescent="0.2">
      <c r="A51" s="416"/>
      <c r="B51" s="291"/>
      <c r="C51" s="907" t="str">
        <f>IF((CELL_N_UpgradeUpdate + CELL_N_Software ) = 2,"",LEFT(INDEX(CELL_SoftwareFullNames,CELL_IndexSoftware),FIND(" ",INDEX(CELL_SoftwareFullNames,CELL_IndexSoftware),FIND(" ",INDEX(CELL_SoftwareFullNames,CELL_IndexSoftware))+1)) &amp;
CELL_YearMostRecent )</f>
        <v/>
      </c>
      <c r="D51" s="907"/>
      <c r="E51" s="299"/>
      <c r="F51" s="299"/>
      <c r="G51" s="270" t="str">
        <f>IF(CELL_OptionXL*(CELL_N_Software+CELL_N_UpgradeUpdate-2)&gt;=((ROW(G51)-ROW($G$39))/4+1),"XLCELL "&amp; CELL_YearMostRecent,"")</f>
        <v/>
      </c>
      <c r="H51" s="227"/>
      <c r="I51" s="227"/>
      <c r="J51" s="270" t="str">
        <f>IF(CELL_N_Software-1&gt;=((ROW(G51)-ROW($G$39))/4+1),IF(N_SystemTotal=0,"Software Only",IF(N_STDScanners+N_LAScanners+N_LCScanners=0,"Software Sans Scanner","Software Avec Scanner")),
IF(CELL_N_UpgradeUpdate-1&gt;=((ROW(G51)-ROW($G$39))/4+1)-(CELL_N_Software-1),"Update",""))</f>
        <v/>
      </c>
      <c r="K51" s="227"/>
      <c r="L51" s="221"/>
      <c r="M51" s="221"/>
      <c r="N51" s="221"/>
      <c r="O51" s="377"/>
      <c r="P51" s="215"/>
      <c r="Q51" s="215"/>
    </row>
    <row r="52" spans="1:17" ht="24" customHeight="1" x14ac:dyDescent="0.2">
      <c r="A52" s="428" t="s">
        <v>258</v>
      </c>
      <c r="B52" s="287" t="s">
        <v>258</v>
      </c>
      <c r="C52" s="378" t="str">
        <f>IF(AND(QUOTE_Split_SoftwareHardware,QUOTE_InternetDownload),"",
"☐☐ Win" &amp;
IF(INT((ROW(D52)-10)/30)+1=1,"DEN","")&amp;
IF(INT((ROW(D52)-10)/30)+1=2,"CEL","")&amp;
IF(INT((ROW(D52)-10)/30)+1=3,"RHI","")&amp;
IF(INT((ROW(D52)-10)/30)+1=4,"RT","")&amp;
IF(INT((ROW(D52)-10)/30)+1=5,"FOL","")&amp;
IF(INT((ROW(D52)-10)/30)+1=6,"SEE","")&amp;
IF(INT((ROW(D52)-10)/30)+1=7,"CAM","")&amp;
IF(INT((ROW(D52)-10)/30)+1=8,"SCA","") &amp; ".exe")</f>
        <v>☐☐ WinCEL.exe</v>
      </c>
      <c r="D52" s="378" t="str">
        <f>IF(AND(QUOTE_Split_SoftwareHardware,QUOTE_InternetDownload),"",
 IF(N("If it is Cam, Do not Show XL")+AND(ROW(D52)&gt;=189,ROW(D52)&lt;=218),"","☐ XL" &amp;
IF(INT((ROW(D52)-10)/30)+1=1,"STEM","")&amp;
IF(INT((ROW(D52)-10)/30)+1=2,"Cell","")&amp;
IF(INT((ROW(D52)-10)/30)+1=3,"Rhizo","")&amp;
IF(INT((ROW(D52)-10)/30)+1=4,"RhizoT","")&amp;
IF(INT((ROW(D52)-10)/30)+1=5,"Folia","")&amp;
IF(INT((ROW(D52)-10)/30)+1=6,"Seedle","")&amp;
IF(INT((ROW(D52)-10)/30)+1=7,"Cam","")&amp;
IF(INT((ROW(D52)-10)/30)+1=8,"Scanopy","") &amp; ".xls"))</f>
        <v>☐ XLCell.xls</v>
      </c>
      <c r="E52" s="378" t="s">
        <v>299</v>
      </c>
      <c r="F52" s="379" t="s">
        <v>152</v>
      </c>
      <c r="G52" s="378" t="str">
        <f xml:space="preserve"> IF(N("If it is Cam, Do not Show XL")+AND(ROW(G52)&gt;=189,ROW(G52)&lt;=218),"","☐ XL Man")</f>
        <v>☐ XL Man</v>
      </c>
      <c r="H52" s="379" t="s">
        <v>280</v>
      </c>
      <c r="I52" s="307" t="s">
        <v>274</v>
      </c>
      <c r="J52" s="379" t="str">
        <f>IF(N("Si OR dessous = vrai, pas de box")+OR(
N("1 OR Tron ou CELL")+OR(AND(ROW(E52)&gt;=39,ROW(E52)&lt;=68),AND(ROW(E52)&gt;=99,ROW(E52)&lt;=128)),
N("2 Pas de système scanopy and range opy")+AND(ROW(E52)&gt;=219,ROW(E52)&lt;=248,SCANOPY_N_System&lt;2),
N("3 Avec LC") + IF(AND(IF(PROD_MostPopularScanner="LC",1,0), NOT(AND(ROW(E52)&gt;=129,ROW(E52)&lt;=158)), NOT(AND(ROW(E52)&gt;=189,ROW(E52)&lt;=218))),1,0)
),"","☐ ")
&amp;
IF(N("If it's OPY, put OMount Manual instead")+
AND(ROW(D52)&gt;=219,ROW(D52)&lt;=248),
IF(SCANOPY_N_System&gt;1,
IF(SCANOPY_IndexScanner=1,"α" &amp; SCANOPY_CameraModel,SCANOPY_CameraModel_Mini) &amp; " Man",""),
IF(N("Empty si OR = true . . .If it is Cell or Tron, Do not Show Scanner related items + Hide if LC is favorite on unavailable product")+OR(
AND(ROW(E52)&gt;=39,ROW(E52)&lt;=68),
AND(ROW(E52)&gt;=99,ROW(E52)&lt;=128),
AND(IF(PROD_MostPopularScanner="LC",1,0), NOT(AND(ROW(E52)&gt;=129,ROW(E52)&lt;=158)), NOT(AND(ROW(E52)&gt;=189,ROW(E52)&lt;=218))),
0=1),
    "", IF(1=N("Si système a un scanner différent du Scanner populaire alors différent, sinon Scanner populaire")+AND(NOT(ISERROR(SEARCH("System",J51))),LEFT(J51,2)&lt;&gt;LEFT(PROD_MostPopularScanner,2)),
LEFT(J51,SEARCH("00",J51)-3),
PROD_MostPopularScanner) &amp; " Install Man"))</f>
        <v/>
      </c>
      <c r="K52" s="378" t="str">
        <f>IF(N("If it is Cell or Tron or OPY, Do not Show Twain")+OR(AND(ROW(K52)&gt;=39,ROW(K52)&lt;=68),AND(ROW(K52)&gt;=99,ROW(K52)&lt;=128),AND(ROW(J52)&gt;=219,ROW(J52)&lt;=248)),"","☐ TWAIN")</f>
        <v/>
      </c>
      <c r="L52" s="379" t="str">
        <f>IF(AND(IF(PROD_MostPopularScanner="LC",1,0), NOT(AND(ROW(E52)&gt;=129,ROW(E52)&lt;=158)), NOT(AND(ROW(E52)&gt;=189,ROW(E52)&lt;=218))),"",
IF(N("Si OR dessous = vrai, pas de box")+OR(
N("1 OR Dendro+CELL, Tron+Folia,Cam")+OR(
AND(ROW(K52)&gt;=9,ROW(K52)&lt;=68),
AND(ROW(K52)&gt;=99,ROW(K52)&lt;=158),
AND(ROW(K52)&gt;=189,ROW(K52)&lt;=218)),
N("2 Pas de système scanopy and range opy")+AND(ROW(K52)&gt;=219,ROW(K52)&lt;=248,SCANOPY_N_System&lt;2),
N("3 Avec LC")&amp;IF(ISERROR(LEFT(J51,SEARCH("00",J51)-3)),"",LEFT(J51,SEARCH("00",J51)-3))="LC"),"","☐ ")
&amp;
IF(N("If it's OPY, put OMount Manual instead")+
AND(ROW(J52)&gt;=219,ROW(J52)&lt;=248),
IF(SCANOPY_N_System&gt;1,"OMount Man",""),
IF(N("If it is Dendro+CELL, Tron+Folia or Cam, Do not Show Scanner related items+No Video if LC")+OR(
AND(ROW(K52)&gt;=9,ROW(K52)&lt;=68),
AND(ROW(K52)&gt;=99,ROW(K52)&lt;=158),
AND(ROW(K52)&gt;=189,ROW(K52)&lt;=218),
IF(ISERROR(LEFT(J51,SEARCH("00",J51)-3)),"",LEFT(J51,SEARCH("00",J51)-3))="LC"),
    "", "Video " &amp; IF(1=N("Si système a un scanner différent du Scanner populaire alors différent, sinon Scanner populaire")+AND(NOT(ISERROR(SEARCH("System",J51))),LEFT(J51,2)&lt;&gt;LEFT(PROD_MostPopularScanner,2)),
LEFT(J51,SEARCH("00",J51)-3),
PROD_MostPopularScanner) &amp; " Install"))
)</f>
        <v/>
      </c>
      <c r="M52" s="378" t="str">
        <f>IF(N("If it is Dendro or Tron, Do not Show Color Analysis Video")+
OR(AND(ROW(L52)&gt;=9,ROW(L52)&lt;=38),
AND(ROW(L52)&gt;=99,ROW(L52)&lt;=128)), "","☐ Video ClrAna")</f>
        <v>☐ Video ClrAna</v>
      </c>
      <c r="N52" s="379" t="str">
        <f>IF(OR(INT((ROW(D52)-10)/30)+1=2,INT((ROW(D52)-10)/30)+1=4),"","☐ ")&amp;
IF(INT((ROW(D52)-10)/30)+1=1,"Scanner.cal","")&amp;
IF(INT((ROW(D52)-10)/30)+1=2,"","")&amp;
IF(INT((ROW(D52)-10)/30)+1=3,"Scanner.cal","")&amp;
IF(INT((ROW(D52)-10)/30)+1=4,"","")&amp;
IF(INT((ROW(D52)-10)/30)+1=5,"Scanner.cal","")&amp;
IF(INT((ROW(D52)-10)/30)+1=6,"Scanner.cal","")&amp;
IF(INT((ROW(D52)-10)/30)+1=7,"Scanner.cal","")&amp;
IF(INT((ROW(D52)-10)/30)+1=8,"Indiv" &amp; " Lens.cal","")</f>
        <v/>
      </c>
      <c r="O52" s="307" t="str">
        <f>IF(AND(ROW(L52)&gt;=9,ROW(L52)&lt;=38),"☐ RegentTarget.blu","")</f>
        <v/>
      </c>
      <c r="P52" s="215"/>
      <c r="Q52" s="215"/>
    </row>
    <row r="53" spans="1:17" ht="24" customHeight="1" x14ac:dyDescent="0.2">
      <c r="A53" s="428" t="s">
        <v>259</v>
      </c>
      <c r="B53" s="224" t="s">
        <v>259</v>
      </c>
      <c r="C53" s="307" t="s">
        <v>152</v>
      </c>
      <c r="D53" s="307" t="str">
        <f xml:space="preserve"> IF(N("If it is Cam, Do not Show XL")+AND(ROW(D53)&gt;=189,ROW(D53)&lt;=218),"","☐ XL Man")</f>
        <v>☐ XL Man</v>
      </c>
      <c r="E53" s="437" t="str">
        <f>IF(N("Si OR dessous = vrai, pas de box")+OR(
N("1 OR Tron ou CELL")+OR(AND(ROW(K52)&gt;=39,ROW(K52)&lt;=68),AND(ROW(K52)&gt;=99,ROW(K52)&lt;=128)),
N("2 Pas de système scanopy and range opy")+AND(ROW(K52)&gt;=219,ROW(K52)&lt;=248,SCANOPY_N_System&lt;2),
N("3 Avec LC")&amp;IF(ISERROR(LEFT(J51,SEARCH("00",J51)-3)),"",LEFT(J51,SEARCH("00",J51)-3))="LC"),"","☐ ")
&amp;
IF(N("If it's OPY, put OMount Manual instead")+
AND(ROW(J52)&gt;=219,ROW(J52)&lt;=248),
IF(SCANOPY_N_System&gt;1,"OMount Man",""),
IF(N("If it is Cell or Tron, Do not Show Scanner related items")+OR(
AND(ROW(K52)&gt;=39,ROW(K52)&lt;=68),
AND(ROW(K52)&gt;=99,ROW(K52)&lt;=128)),
    "", IF(1=N("Si système a un scanner différent du Scanner populaire alors différent, sinon Scanner populaire")+AND(NOT(ISERROR(SEARCH("System",J51))),LEFT(J51,2)&lt;&gt;LEFT(PROD_MostPopularScanner,2)),
LEFT(J51,SEARCH("00",J51)-3),
PROD_MostPopularScanner) &amp; " Install Man"))</f>
        <v/>
      </c>
      <c r="F53" s="380" t="s">
        <v>275</v>
      </c>
      <c r="G53" s="307" t="s">
        <v>274</v>
      </c>
      <c r="H53" s="439" t="s">
        <v>250</v>
      </c>
      <c r="I53" s="381"/>
      <c r="J53" s="307" t="str">
        <f ca="1">IF(AND(
INDIRECT(
IF(INT((ROW(D53)-10)/30)+1=1,"DENDRO","")&amp;
IF(INT((ROW(D53)-10)/30)+1=2,"CELL","")&amp;
IF(INT((ROW(D53)-10)/30)+1=3,"RHIZO","")&amp;
IF(INT((ROW(D53)-10)/30)+1=4,"RHIZOTRON","")&amp;
IF(INT((ROW(D53)-10)/30)+1=5,"FOLIA","")&amp;
IF(INT((ROW(D53)-10)/30)+1=6,"SEEDLE","")&amp;
IF(INT((ROW(D53)-10)/30)+1=7,"CAM","")&amp;
IF(INT((ROW(D53)-10)/30)+1=8,"SCANOPY","") &amp; "_ChkB_RemoteUpdate"),
INDIRECT(
IF(INT((ROW(D53)-10)/30)+1=1,"DENDRO","")&amp;
IF(INT((ROW(D53)-10)/30)+1=2,"CELL","")&amp;
IF(INT((ROW(D53)-10)/30)+1=3,"RHIZO","")&amp;
IF(INT((ROW(D53)-10)/30)+1=4,"RHIZOTRON","")&amp;
IF(INT((ROW(D53)-10)/30)+1=5,"FOLIA","")&amp;
IF(INT((ROW(D53)-10)/30)+1=6,"SEEDLE","")&amp;
IF(INT((ROW(D53)-10)/30)+1=7,"CAM","")&amp;
IF(INT((ROW(D53)-10)/30)+1=8,"SCANOPY","") &amp; "_ChkBox_UpgradeUpdate")),
"Clé de bois ou Download. Reprogrammation clé client",
"☐ " &amp; IF(AND(QUOTE_Split_SoftwareHardware,QUOTE_InternetDownload),"Man ds env. ""Documents"", Clé ds bulle collée sur env.","Reliée au Man"))</f>
        <v>☐ Reliée au Man</v>
      </c>
      <c r="K53" s="265"/>
      <c r="L53" s="223"/>
      <c r="M53" s="439"/>
      <c r="N53" s="380"/>
      <c r="O53" s="307"/>
      <c r="P53" s="215"/>
      <c r="Q53" s="215"/>
    </row>
    <row r="54" spans="1:17" ht="16.25" customHeight="1" x14ac:dyDescent="0.2">
      <c r="A54" s="416"/>
      <c r="B54" s="291"/>
      <c r="C54" s="907" t="str">
        <f>IF((CELL_N_UpgradeUpdate + CELL_N_Software ) = 2,"",LEFT(INDEX(CELL_SoftwareFullNames,CELL_IndexSoftware),FIND(" ",INDEX(CELL_SoftwareFullNames,CELL_IndexSoftware),FIND(" ",INDEX(CELL_SoftwareFullNames,CELL_IndexSoftware))+1)) &amp;
CELL_YearMostRecent )</f>
        <v/>
      </c>
      <c r="D54" s="907"/>
      <c r="E54" s="299"/>
      <c r="F54" s="299"/>
      <c r="G54" s="270" t="str">
        <f>IF(CELL_OptionXL*(CELL_N_Software+CELL_N_UpgradeUpdate-2)&gt;=((ROW(G54)-ROW($G$39))/4+1),"XLCELL "&amp; CELL_YearMostRecent,"")</f>
        <v/>
      </c>
      <c r="H54" s="227"/>
      <c r="I54" s="227"/>
      <c r="J54" s="270" t="str">
        <f>IF(CELL_N_Software-1&gt;=((ROW(G54)-ROW($G$39))/4+1),IF(N_SystemTotal=0,"Software Only",IF(N_STDScanners+N_LAScanners+N_LCScanners=0,"Software Sans Scanner","Software Avec Scanner")),
IF(CELL_N_UpgradeUpdate-1&gt;=((ROW(G54)-ROW($G$39))/4+1)-(CELL_N_Software-1),"Update",""))</f>
        <v/>
      </c>
      <c r="K54" s="227"/>
      <c r="L54" s="221"/>
      <c r="M54" s="221"/>
      <c r="N54" s="221"/>
      <c r="O54" s="377"/>
      <c r="P54" s="215"/>
      <c r="Q54" s="215"/>
    </row>
    <row r="55" spans="1:17" ht="24" customHeight="1" x14ac:dyDescent="0.2">
      <c r="A55" s="428" t="s">
        <v>258</v>
      </c>
      <c r="B55" s="287" t="s">
        <v>258</v>
      </c>
      <c r="C55" s="378" t="str">
        <f>IF(AND(QUOTE_Split_SoftwareHardware,QUOTE_InternetDownload),"",
"☐☐ Win" &amp;
IF(INT((ROW(D55)-10)/30)+1=1,"DEN","")&amp;
IF(INT((ROW(D55)-10)/30)+1=2,"CEL","")&amp;
IF(INT((ROW(D55)-10)/30)+1=3,"RHI","")&amp;
IF(INT((ROW(D55)-10)/30)+1=4,"RT","")&amp;
IF(INT((ROW(D55)-10)/30)+1=5,"FOL","")&amp;
IF(INT((ROW(D55)-10)/30)+1=6,"SEE","")&amp;
IF(INT((ROW(D55)-10)/30)+1=7,"CAM","")&amp;
IF(INT((ROW(D55)-10)/30)+1=8,"SCA","") &amp; ".exe")</f>
        <v>☐☐ WinCEL.exe</v>
      </c>
      <c r="D55" s="378" t="str">
        <f>IF(AND(QUOTE_Split_SoftwareHardware,QUOTE_InternetDownload),"",
 IF(N("If it is Cam, Do not Show XL")+AND(ROW(D55)&gt;=189,ROW(D55)&lt;=218),"","☐ XL" &amp;
IF(INT((ROW(D55)-10)/30)+1=1,"STEM","")&amp;
IF(INT((ROW(D55)-10)/30)+1=2,"Cell","")&amp;
IF(INT((ROW(D55)-10)/30)+1=3,"Rhizo","")&amp;
IF(INT((ROW(D55)-10)/30)+1=4,"RhizoT","")&amp;
IF(INT((ROW(D55)-10)/30)+1=5,"Folia","")&amp;
IF(INT((ROW(D55)-10)/30)+1=6,"Seedle","")&amp;
IF(INT((ROW(D55)-10)/30)+1=7,"Cam","")&amp;
IF(INT((ROW(D55)-10)/30)+1=8,"Scanopy","") &amp; ".xls"))</f>
        <v>☐ XLCell.xls</v>
      </c>
      <c r="E55" s="378" t="s">
        <v>299</v>
      </c>
      <c r="F55" s="379" t="s">
        <v>152</v>
      </c>
      <c r="G55" s="378" t="str">
        <f xml:space="preserve"> IF(N("If it is Cam, Do not Show XL")+AND(ROW(G55)&gt;=189,ROW(G55)&lt;=218),"","☐ XL Man")</f>
        <v>☐ XL Man</v>
      </c>
      <c r="H55" s="379" t="s">
        <v>280</v>
      </c>
      <c r="I55" s="307" t="s">
        <v>274</v>
      </c>
      <c r="J55" s="379" t="str">
        <f>IF(N("Si OR dessous = vrai, pas de box")+OR(
N("1 OR Tron ou CELL")+OR(AND(ROW(E55)&gt;=39,ROW(E55)&lt;=68),AND(ROW(E55)&gt;=99,ROW(E55)&lt;=128)),
N("2 Pas de système scanopy and range opy")+AND(ROW(E55)&gt;=219,ROW(E55)&lt;=248,SCANOPY_N_System&lt;2),
N("3 Avec LC") + IF(AND(IF(PROD_MostPopularScanner="LC",1,0), NOT(AND(ROW(E55)&gt;=129,ROW(E55)&lt;=158)), NOT(AND(ROW(E55)&gt;=189,ROW(E55)&lt;=218))),1,0)
),"","☐ ")
&amp;
IF(N("If it's OPY, put OMount Manual instead")+
AND(ROW(D55)&gt;=219,ROW(D55)&lt;=248),
IF(SCANOPY_N_System&gt;1,
IF(SCANOPY_IndexScanner=1,"α" &amp; SCANOPY_CameraModel,SCANOPY_CameraModel_Mini) &amp; " Man",""),
IF(N("Empty si OR = true . . .If it is Cell or Tron, Do not Show Scanner related items + Hide if LC is favorite on unavailable product")+OR(
AND(ROW(E55)&gt;=39,ROW(E55)&lt;=68),
AND(ROW(E55)&gt;=99,ROW(E55)&lt;=128),
AND(IF(PROD_MostPopularScanner="LC",1,0), NOT(AND(ROW(E55)&gt;=129,ROW(E55)&lt;=158)), NOT(AND(ROW(E55)&gt;=189,ROW(E55)&lt;=218))),
0=1),
    "", IF(1=N("Si système a un scanner différent du Scanner populaire alors différent, sinon Scanner populaire")+AND(NOT(ISERROR(SEARCH("System",J54))),LEFT(J54,2)&lt;&gt;LEFT(PROD_MostPopularScanner,2)),
LEFT(J54,SEARCH("00",J54)-3),
PROD_MostPopularScanner) &amp; " Install Man"))</f>
        <v/>
      </c>
      <c r="K55" s="378" t="str">
        <f>IF(N("If it is Cell or Tron or OPY, Do not Show Twain")+OR(AND(ROW(K55)&gt;=39,ROW(K55)&lt;=68),AND(ROW(K55)&gt;=99,ROW(K55)&lt;=128),AND(ROW(J55)&gt;=219,ROW(J55)&lt;=248)),"","☐ TWAIN")</f>
        <v/>
      </c>
      <c r="L55" s="379" t="str">
        <f>IF(AND(IF(PROD_MostPopularScanner="LC",1,0), NOT(AND(ROW(E55)&gt;=129,ROW(E55)&lt;=158)), NOT(AND(ROW(E55)&gt;=189,ROW(E55)&lt;=218))),"",
IF(N("Si OR dessous = vrai, pas de box")+OR(
N("1 OR Dendro+CELL, Tron+Folia,Cam")+OR(
AND(ROW(K55)&gt;=9,ROW(K55)&lt;=68),
AND(ROW(K55)&gt;=99,ROW(K55)&lt;=158),
AND(ROW(K55)&gt;=189,ROW(K55)&lt;=218)),
N("2 Pas de système scanopy and range opy")+AND(ROW(K55)&gt;=219,ROW(K55)&lt;=248,SCANOPY_N_System&lt;2),
N("3 Avec LC")&amp;IF(ISERROR(LEFT(J54,SEARCH("00",J54)-3)),"",LEFT(J54,SEARCH("00",J54)-3))="LC"),"","☐ ")
&amp;
IF(N("If it's OPY, put OMount Manual instead")+
AND(ROW(J55)&gt;=219,ROW(J55)&lt;=248),
IF(SCANOPY_N_System&gt;1,"OMount Man",""),
IF(N("If it is Dendro+CELL, Tron+Folia or Cam, Do not Show Scanner related items+No Video if LC")+OR(
AND(ROW(K55)&gt;=9,ROW(K55)&lt;=68),
AND(ROW(K55)&gt;=99,ROW(K55)&lt;=158),
AND(ROW(K55)&gt;=189,ROW(K55)&lt;=218),
IF(ISERROR(LEFT(J54,SEARCH("00",J54)-3)),"",LEFT(J54,SEARCH("00",J54)-3))="LC"),
    "", "Video " &amp; IF(1=N("Si système a un scanner différent du Scanner populaire alors différent, sinon Scanner populaire")+AND(NOT(ISERROR(SEARCH("System",J54))),LEFT(J54,2)&lt;&gt;LEFT(PROD_MostPopularScanner,2)),
LEFT(J54,SEARCH("00",J54)-3),
PROD_MostPopularScanner) &amp; " Install"))
)</f>
        <v/>
      </c>
      <c r="M55" s="378" t="str">
        <f>IF(N("If it is Dendro or Tron, Do not Show Color Analysis Video")+
OR(AND(ROW(L55)&gt;=9,ROW(L55)&lt;=38),
AND(ROW(L55)&gt;=99,ROW(L55)&lt;=128)), "","☐ Video ClrAna")</f>
        <v>☐ Video ClrAna</v>
      </c>
      <c r="N55" s="379" t="str">
        <f>IF(OR(INT((ROW(D55)-10)/30)+1=2,INT((ROW(D55)-10)/30)+1=4),"","☐ ")&amp;
IF(INT((ROW(D55)-10)/30)+1=1,"Scanner.cal","")&amp;
IF(INT((ROW(D55)-10)/30)+1=2,"","")&amp;
IF(INT((ROW(D55)-10)/30)+1=3,"Scanner.cal","")&amp;
IF(INT((ROW(D55)-10)/30)+1=4,"","")&amp;
IF(INT((ROW(D55)-10)/30)+1=5,"Scanner.cal","")&amp;
IF(INT((ROW(D55)-10)/30)+1=6,"Scanner.cal","")&amp;
IF(INT((ROW(D55)-10)/30)+1=7,"Scanner.cal","")&amp;
IF(INT((ROW(D55)-10)/30)+1=8,"Indiv" &amp; " Lens.cal","")</f>
        <v/>
      </c>
      <c r="O55" s="307" t="str">
        <f>IF(AND(ROW(L55)&gt;=9,ROW(L55)&lt;=38),"☐ RegentTarget.blu","")</f>
        <v/>
      </c>
      <c r="P55" s="215"/>
      <c r="Q55" s="215"/>
    </row>
    <row r="56" spans="1:17" ht="24" customHeight="1" x14ac:dyDescent="0.2">
      <c r="A56" s="428" t="s">
        <v>259</v>
      </c>
      <c r="B56" s="224" t="s">
        <v>259</v>
      </c>
      <c r="C56" s="307" t="s">
        <v>152</v>
      </c>
      <c r="D56" s="307" t="str">
        <f xml:space="preserve"> IF(N("If it is Cam, Do not Show XL")+AND(ROW(D56)&gt;=189,ROW(D56)&lt;=218),"","☐ XL Man")</f>
        <v>☐ XL Man</v>
      </c>
      <c r="E56" s="437" t="str">
        <f>IF(N("Si OR dessous = vrai, pas de box")+OR(
N("1 OR Tron ou CELL")+OR(AND(ROW(K55)&gt;=39,ROW(K55)&lt;=68),AND(ROW(K55)&gt;=99,ROW(K55)&lt;=128)),
N("2 Pas de système scanopy and range opy")+AND(ROW(K55)&gt;=219,ROW(K55)&lt;=248,SCANOPY_N_System&lt;2),
N("3 Avec LC")&amp;IF(ISERROR(LEFT(J54,SEARCH("00",J54)-3)),"",LEFT(J54,SEARCH("00",J54)-3))="LC"),"","☐ ")
&amp;
IF(N("If it's OPY, put OMount Manual instead")+
AND(ROW(J55)&gt;=219,ROW(J55)&lt;=248),
IF(SCANOPY_N_System&gt;1,"OMount Man",""),
IF(N("If it is Cell or Tron, Do not Show Scanner related items")+OR(
AND(ROW(K55)&gt;=39,ROW(K55)&lt;=68),
AND(ROW(K55)&gt;=99,ROW(K55)&lt;=128)),
    "", IF(1=N("Si système a un scanner différent du Scanner populaire alors différent, sinon Scanner populaire")+AND(NOT(ISERROR(SEARCH("System",J54))),LEFT(J54,2)&lt;&gt;LEFT(PROD_MostPopularScanner,2)),
LEFT(J54,SEARCH("00",J54)-3),
PROD_MostPopularScanner) &amp; " Install Man"))</f>
        <v/>
      </c>
      <c r="F56" s="380" t="s">
        <v>275</v>
      </c>
      <c r="G56" s="307" t="s">
        <v>274</v>
      </c>
      <c r="H56" s="439" t="s">
        <v>250</v>
      </c>
      <c r="I56" s="381"/>
      <c r="J56" s="307" t="str">
        <f ca="1">IF(AND(
INDIRECT(
IF(INT((ROW(D56)-10)/30)+1=1,"DENDRO","")&amp;
IF(INT((ROW(D56)-10)/30)+1=2,"CELL","")&amp;
IF(INT((ROW(D56)-10)/30)+1=3,"RHIZO","")&amp;
IF(INT((ROW(D56)-10)/30)+1=4,"RHIZOTRON","")&amp;
IF(INT((ROW(D56)-10)/30)+1=5,"FOLIA","")&amp;
IF(INT((ROW(D56)-10)/30)+1=6,"SEEDLE","")&amp;
IF(INT((ROW(D56)-10)/30)+1=7,"CAM","")&amp;
IF(INT((ROW(D56)-10)/30)+1=8,"SCANOPY","") &amp; "_ChkB_RemoteUpdate"),
INDIRECT(
IF(INT((ROW(D56)-10)/30)+1=1,"DENDRO","")&amp;
IF(INT((ROW(D56)-10)/30)+1=2,"CELL","")&amp;
IF(INT((ROW(D56)-10)/30)+1=3,"RHIZO","")&amp;
IF(INT((ROW(D56)-10)/30)+1=4,"RHIZOTRON","")&amp;
IF(INT((ROW(D56)-10)/30)+1=5,"FOLIA","")&amp;
IF(INT((ROW(D56)-10)/30)+1=6,"SEEDLE","")&amp;
IF(INT((ROW(D56)-10)/30)+1=7,"CAM","")&amp;
IF(INT((ROW(D56)-10)/30)+1=8,"SCANOPY","") &amp; "_ChkBox_UpgradeUpdate")),
"Clé de bois ou Download. Reprogrammation clé client",
"☐ " &amp; IF(AND(QUOTE_Split_SoftwareHardware,QUOTE_InternetDownload),"Man ds env. ""Documents"", Clé ds bulle collée sur env.","Reliée au Man"))</f>
        <v>☐ Reliée au Man</v>
      </c>
      <c r="K56" s="265"/>
      <c r="L56" s="223"/>
      <c r="M56" s="439"/>
      <c r="N56" s="380"/>
      <c r="O56" s="307"/>
      <c r="P56" s="215"/>
      <c r="Q56" s="215"/>
    </row>
    <row r="57" spans="1:17" ht="16.25" customHeight="1" x14ac:dyDescent="0.2">
      <c r="A57" s="416"/>
      <c r="B57" s="291"/>
      <c r="C57" s="907" t="str">
        <f>IF((CELL_N_UpgradeUpdate + CELL_N_Software ) = 2,"",LEFT(INDEX(CELL_SoftwareFullNames,CELL_IndexSoftware),FIND(" ",INDEX(CELL_SoftwareFullNames,CELL_IndexSoftware),FIND(" ",INDEX(CELL_SoftwareFullNames,CELL_IndexSoftware))+1)) &amp;
CELL_YearMostRecent )</f>
        <v/>
      </c>
      <c r="D57" s="907"/>
      <c r="E57" s="299"/>
      <c r="F57" s="299"/>
      <c r="G57" s="270" t="str">
        <f>IF(CELL_OptionXL*(CELL_N_Software+CELL_N_UpgradeUpdate-2)&gt;=((ROW(G57)-ROW($G$39))/4+1),"XLCELL "&amp; CELL_YearMostRecent,"")</f>
        <v/>
      </c>
      <c r="H57" s="227"/>
      <c r="I57" s="227"/>
      <c r="J57" s="270" t="str">
        <f>IF(CELL_N_Software-1&gt;=((ROW(G57)-ROW($G$39))/4+1),IF(N_SystemTotal=0,"Software Only",IF(N_STDScanners+N_LAScanners+N_LCScanners=0,"Software Sans Scanner","Software Avec Scanner")),
IF(CELL_N_UpgradeUpdate-1&gt;=((ROW(G57)-ROW($G$39))/4+1)-(CELL_N_Software-1),"Update",""))</f>
        <v/>
      </c>
      <c r="K57" s="227"/>
      <c r="L57" s="221"/>
      <c r="M57" s="221"/>
      <c r="N57" s="221"/>
      <c r="O57" s="377"/>
      <c r="P57" s="215"/>
      <c r="Q57" s="215"/>
    </row>
    <row r="58" spans="1:17" ht="24" customHeight="1" x14ac:dyDescent="0.2">
      <c r="A58" s="428" t="s">
        <v>258</v>
      </c>
      <c r="B58" s="287" t="s">
        <v>258</v>
      </c>
      <c r="C58" s="378" t="str">
        <f>IF(AND(QUOTE_Split_SoftwareHardware,QUOTE_InternetDownload),"",
"☐☐ Win" &amp;
IF(INT((ROW(D58)-10)/30)+1=1,"DEN","")&amp;
IF(INT((ROW(D58)-10)/30)+1=2,"CEL","")&amp;
IF(INT((ROW(D58)-10)/30)+1=3,"RHI","")&amp;
IF(INT((ROW(D58)-10)/30)+1=4,"RT","")&amp;
IF(INT((ROW(D58)-10)/30)+1=5,"FOL","")&amp;
IF(INT((ROW(D58)-10)/30)+1=6,"SEE","")&amp;
IF(INT((ROW(D58)-10)/30)+1=7,"CAM","")&amp;
IF(INT((ROW(D58)-10)/30)+1=8,"SCA","") &amp; ".exe")</f>
        <v>☐☐ WinCEL.exe</v>
      </c>
      <c r="D58" s="378" t="str">
        <f>IF(AND(QUOTE_Split_SoftwareHardware,QUOTE_InternetDownload),"",
 IF(N("If it is Cam, Do not Show XL")+AND(ROW(D58)&gt;=189,ROW(D58)&lt;=218),"","☐ XL" &amp;
IF(INT((ROW(D58)-10)/30)+1=1,"STEM","")&amp;
IF(INT((ROW(D58)-10)/30)+1=2,"Cell","")&amp;
IF(INT((ROW(D58)-10)/30)+1=3,"Rhizo","")&amp;
IF(INT((ROW(D58)-10)/30)+1=4,"RhizoT","")&amp;
IF(INT((ROW(D58)-10)/30)+1=5,"Folia","")&amp;
IF(INT((ROW(D58)-10)/30)+1=6,"Seedle","")&amp;
IF(INT((ROW(D58)-10)/30)+1=7,"Cam","")&amp;
IF(INT((ROW(D58)-10)/30)+1=8,"Scanopy","") &amp; ".xls"))</f>
        <v>☐ XLCell.xls</v>
      </c>
      <c r="E58" s="378" t="s">
        <v>299</v>
      </c>
      <c r="F58" s="379" t="s">
        <v>152</v>
      </c>
      <c r="G58" s="378" t="str">
        <f xml:space="preserve"> IF(N("If it is Cam, Do not Show XL")+AND(ROW(G58)&gt;=189,ROW(G58)&lt;=218),"","☐ XL Man")</f>
        <v>☐ XL Man</v>
      </c>
      <c r="H58" s="379" t="s">
        <v>280</v>
      </c>
      <c r="I58" s="307" t="s">
        <v>274</v>
      </c>
      <c r="J58" s="379" t="str">
        <f>IF(N("Si OR dessous = vrai, pas de box")+OR(
N("1 OR Tron ou CELL")+OR(AND(ROW(E58)&gt;=39,ROW(E58)&lt;=68),AND(ROW(E58)&gt;=99,ROW(E58)&lt;=128)),
N("2 Pas de système scanopy and range opy")+AND(ROW(E58)&gt;=219,ROW(E58)&lt;=248,SCANOPY_N_System&lt;2),
N("3 Avec LC") + IF(AND(IF(PROD_MostPopularScanner="LC",1,0), NOT(AND(ROW(E58)&gt;=129,ROW(E58)&lt;=158)), NOT(AND(ROW(E58)&gt;=189,ROW(E58)&lt;=218))),1,0)
),"","☐ ")
&amp;
IF(N("If it's OPY, put OMount Manual instead")+
AND(ROW(D58)&gt;=219,ROW(D58)&lt;=248),
IF(SCANOPY_N_System&gt;1,
IF(SCANOPY_IndexScanner=1,"α" &amp; SCANOPY_CameraModel,SCANOPY_CameraModel_Mini) &amp; " Man",""),
IF(N("Empty si OR = true . . .If it is Cell or Tron, Do not Show Scanner related items + Hide if LC is favorite on unavailable product")+OR(
AND(ROW(E58)&gt;=39,ROW(E58)&lt;=68),
AND(ROW(E58)&gt;=99,ROW(E58)&lt;=128),
AND(IF(PROD_MostPopularScanner="LC",1,0), NOT(AND(ROW(E58)&gt;=129,ROW(E58)&lt;=158)), NOT(AND(ROW(E58)&gt;=189,ROW(E58)&lt;=218))),
0=1),
    "", IF(1=N("Si système a un scanner différent du Scanner populaire alors différent, sinon Scanner populaire")+AND(NOT(ISERROR(SEARCH("System",J57))),LEFT(J57,2)&lt;&gt;LEFT(PROD_MostPopularScanner,2)),
LEFT(J57,SEARCH("00",J57)-3),
PROD_MostPopularScanner) &amp; " Install Man"))</f>
        <v/>
      </c>
      <c r="K58" s="378" t="str">
        <f>IF(N("If it is Cell or Tron or OPY, Do not Show Twain")+OR(AND(ROW(K58)&gt;=39,ROW(K58)&lt;=68),AND(ROW(K58)&gt;=99,ROW(K58)&lt;=128),AND(ROW(J58)&gt;=219,ROW(J58)&lt;=248)),"","☐ TWAIN")</f>
        <v/>
      </c>
      <c r="L58" s="379" t="str">
        <f>IF(AND(IF(PROD_MostPopularScanner="LC",1,0), NOT(AND(ROW(E58)&gt;=129,ROW(E58)&lt;=158)), NOT(AND(ROW(E58)&gt;=189,ROW(E58)&lt;=218))),"",
IF(N("Si OR dessous = vrai, pas de box")+OR(
N("1 OR Dendro+CELL, Tron+Folia,Cam")+OR(
AND(ROW(K58)&gt;=9,ROW(K58)&lt;=68),
AND(ROW(K58)&gt;=99,ROW(K58)&lt;=158),
AND(ROW(K58)&gt;=189,ROW(K58)&lt;=218)),
N("2 Pas de système scanopy and range opy")+AND(ROW(K58)&gt;=219,ROW(K58)&lt;=248,SCANOPY_N_System&lt;2),
N("3 Avec LC")&amp;IF(ISERROR(LEFT(J57,SEARCH("00",J57)-3)),"",LEFT(J57,SEARCH("00",J57)-3))="LC"),"","☐ ")
&amp;
IF(N("If it's OPY, put OMount Manual instead")+
AND(ROW(J58)&gt;=219,ROW(J58)&lt;=248),
IF(SCANOPY_N_System&gt;1,"OMount Man",""),
IF(N("If it is Dendro+CELL, Tron+Folia or Cam, Do not Show Scanner related items+No Video if LC")+OR(
AND(ROW(K58)&gt;=9,ROW(K58)&lt;=68),
AND(ROW(K58)&gt;=99,ROW(K58)&lt;=158),
AND(ROW(K58)&gt;=189,ROW(K58)&lt;=218),
IF(ISERROR(LEFT(J57,SEARCH("00",J57)-3)),"",LEFT(J57,SEARCH("00",J57)-3))="LC"),
    "", "Video " &amp; IF(1=N("Si système a un scanner différent du Scanner populaire alors différent, sinon Scanner populaire")+AND(NOT(ISERROR(SEARCH("System",J57))),LEFT(J57,2)&lt;&gt;LEFT(PROD_MostPopularScanner,2)),
LEFT(J57,SEARCH("00",J57)-3),
PROD_MostPopularScanner) &amp; " Install"))
)</f>
        <v/>
      </c>
      <c r="M58" s="378" t="str">
        <f>IF(N("If it is Dendro or Tron, Do not Show Color Analysis Video")+
OR(AND(ROW(L58)&gt;=9,ROW(L58)&lt;=38),
AND(ROW(L58)&gt;=99,ROW(L58)&lt;=128)), "","☐ Video ClrAna")</f>
        <v>☐ Video ClrAna</v>
      </c>
      <c r="N58" s="379" t="str">
        <f>IF(OR(INT((ROW(D58)-10)/30)+1=2,INT((ROW(D58)-10)/30)+1=4),"","☐ ")&amp;
IF(INT((ROW(D58)-10)/30)+1=1,"Scanner.cal","")&amp;
IF(INT((ROW(D58)-10)/30)+1=2,"","")&amp;
IF(INT((ROW(D58)-10)/30)+1=3,"Scanner.cal","")&amp;
IF(INT((ROW(D58)-10)/30)+1=4,"","")&amp;
IF(INT((ROW(D58)-10)/30)+1=5,"Scanner.cal","")&amp;
IF(INT((ROW(D58)-10)/30)+1=6,"Scanner.cal","")&amp;
IF(INT((ROW(D58)-10)/30)+1=7,"Scanner.cal","")&amp;
IF(INT((ROW(D58)-10)/30)+1=8,"Indiv" &amp; " Lens.cal","")</f>
        <v/>
      </c>
      <c r="O58" s="307" t="str">
        <f>IF(AND(ROW(L58)&gt;=9,ROW(L58)&lt;=38),"☐ RegentTarget.blu","")</f>
        <v/>
      </c>
      <c r="P58" s="215"/>
      <c r="Q58" s="215"/>
    </row>
    <row r="59" spans="1:17" ht="24" customHeight="1" x14ac:dyDescent="0.2">
      <c r="A59" s="428" t="s">
        <v>259</v>
      </c>
      <c r="B59" s="224" t="s">
        <v>259</v>
      </c>
      <c r="C59" s="307" t="s">
        <v>152</v>
      </c>
      <c r="D59" s="307" t="str">
        <f xml:space="preserve"> IF(N("If it is Cam, Do not Show XL")+AND(ROW(D59)&gt;=189,ROW(D59)&lt;=218),"","☐ XL Man")</f>
        <v>☐ XL Man</v>
      </c>
      <c r="E59" s="437" t="str">
        <f>IF(N("Si OR dessous = vrai, pas de box")+OR(
N("1 OR Tron ou CELL")+OR(AND(ROW(K58)&gt;=39,ROW(K58)&lt;=68),AND(ROW(K58)&gt;=99,ROW(K58)&lt;=128)),
N("2 Pas de système scanopy and range opy")+AND(ROW(K58)&gt;=219,ROW(K58)&lt;=248,SCANOPY_N_System&lt;2),
N("3 Avec LC")&amp;IF(ISERROR(LEFT(J57,SEARCH("00",J57)-3)),"",LEFT(J57,SEARCH("00",J57)-3))="LC"),"","☐ ")
&amp;
IF(N("If it's OPY, put OMount Manual instead")+
AND(ROW(J58)&gt;=219,ROW(J58)&lt;=248),
IF(SCANOPY_N_System&gt;1,"OMount Man",""),
IF(N("If it is Cell or Tron, Do not Show Scanner related items")+OR(
AND(ROW(K58)&gt;=39,ROW(K58)&lt;=68),
AND(ROW(K58)&gt;=99,ROW(K58)&lt;=128)),
    "", IF(1=N("Si système a un scanner différent du Scanner populaire alors différent, sinon Scanner populaire")+AND(NOT(ISERROR(SEARCH("System",J57))),LEFT(J57,2)&lt;&gt;LEFT(PROD_MostPopularScanner,2)),
LEFT(J57,SEARCH("00",J57)-3),
PROD_MostPopularScanner) &amp; " Install Man"))</f>
        <v/>
      </c>
      <c r="F59" s="380" t="s">
        <v>275</v>
      </c>
      <c r="G59" s="307" t="s">
        <v>274</v>
      </c>
      <c r="H59" s="439" t="s">
        <v>250</v>
      </c>
      <c r="I59" s="381"/>
      <c r="J59" s="307" t="str">
        <f ca="1">IF(AND(
INDIRECT(
IF(INT((ROW(D59)-10)/30)+1=1,"DENDRO","")&amp;
IF(INT((ROW(D59)-10)/30)+1=2,"CELL","")&amp;
IF(INT((ROW(D59)-10)/30)+1=3,"RHIZO","")&amp;
IF(INT((ROW(D59)-10)/30)+1=4,"RHIZOTRON","")&amp;
IF(INT((ROW(D59)-10)/30)+1=5,"FOLIA","")&amp;
IF(INT((ROW(D59)-10)/30)+1=6,"SEEDLE","")&amp;
IF(INT((ROW(D59)-10)/30)+1=7,"CAM","")&amp;
IF(INT((ROW(D59)-10)/30)+1=8,"SCANOPY","") &amp; "_ChkB_RemoteUpdate"),
INDIRECT(
IF(INT((ROW(D59)-10)/30)+1=1,"DENDRO","")&amp;
IF(INT((ROW(D59)-10)/30)+1=2,"CELL","")&amp;
IF(INT((ROW(D59)-10)/30)+1=3,"RHIZO","")&amp;
IF(INT((ROW(D59)-10)/30)+1=4,"RHIZOTRON","")&amp;
IF(INT((ROW(D59)-10)/30)+1=5,"FOLIA","")&amp;
IF(INT((ROW(D59)-10)/30)+1=6,"SEEDLE","")&amp;
IF(INT((ROW(D59)-10)/30)+1=7,"CAM","")&amp;
IF(INT((ROW(D59)-10)/30)+1=8,"SCANOPY","") &amp; "_ChkBox_UpgradeUpdate")),
"Clé de bois ou Download. Reprogrammation clé client",
"☐ " &amp; IF(AND(QUOTE_Split_SoftwareHardware,QUOTE_InternetDownload),"Man ds env. ""Documents"", Clé ds bulle collée sur env.","Reliée au Man"))</f>
        <v>☐ Reliée au Man</v>
      </c>
      <c r="K59" s="265"/>
      <c r="L59" s="223"/>
      <c r="M59" s="439"/>
      <c r="N59" s="380"/>
      <c r="O59" s="307"/>
      <c r="P59" s="215"/>
      <c r="Q59" s="215"/>
    </row>
    <row r="60" spans="1:17" ht="16.25" customHeight="1" x14ac:dyDescent="0.2">
      <c r="A60" s="416"/>
      <c r="B60" s="291"/>
      <c r="C60" s="907" t="str">
        <f>IF((CELL_N_UpgradeUpdate + CELL_N_Software ) = 2,"",LEFT(INDEX(CELL_SoftwareFullNames,CELL_IndexSoftware),FIND(" ",INDEX(CELL_SoftwareFullNames,CELL_IndexSoftware),FIND(" ",INDEX(CELL_SoftwareFullNames,CELL_IndexSoftware))+1)) &amp;
CELL_YearMostRecent )</f>
        <v/>
      </c>
      <c r="D60" s="907"/>
      <c r="E60" s="299"/>
      <c r="F60" s="299"/>
      <c r="G60" s="270" t="str">
        <f>IF(CELL_OptionXL*(CELL_N_Software+CELL_N_UpgradeUpdate-2)&gt;=((ROW(G60)-ROW($G$39))/4+1),"XLCELL "&amp; CELL_YearMostRecent,"")</f>
        <v/>
      </c>
      <c r="H60" s="227"/>
      <c r="I60" s="227"/>
      <c r="J60" s="270" t="str">
        <f>IF(CELL_N_Software-1&gt;=((ROW(G60)-ROW($G$39))/4+1),IF(N_SystemTotal=0,"Software Only",IF(N_STDScanners+N_LAScanners+N_LCScanners=0,"Software Sans Scanner","Software Avec Scanner")),
IF(CELL_N_UpgradeUpdate-1&gt;=((ROW(G60)-ROW($G$39))/4+1)-(CELL_N_Software-1),"Update",""))</f>
        <v/>
      </c>
      <c r="K60" s="227"/>
      <c r="L60" s="221"/>
      <c r="M60" s="221"/>
      <c r="N60" s="221"/>
      <c r="O60" s="377"/>
      <c r="P60" s="215"/>
      <c r="Q60" s="215"/>
    </row>
    <row r="61" spans="1:17" ht="24" customHeight="1" x14ac:dyDescent="0.2">
      <c r="A61" s="428" t="s">
        <v>258</v>
      </c>
      <c r="B61" s="287" t="s">
        <v>258</v>
      </c>
      <c r="C61" s="378" t="str">
        <f>IF(AND(QUOTE_Split_SoftwareHardware,QUOTE_InternetDownload),"",
"☐☐ Win" &amp;
IF(INT((ROW(D61)-10)/30)+1=1,"DEN","")&amp;
IF(INT((ROW(D61)-10)/30)+1=2,"CEL","")&amp;
IF(INT((ROW(D61)-10)/30)+1=3,"RHI","")&amp;
IF(INT((ROW(D61)-10)/30)+1=4,"RT","")&amp;
IF(INT((ROW(D61)-10)/30)+1=5,"FOL","")&amp;
IF(INT((ROW(D61)-10)/30)+1=6,"SEE","")&amp;
IF(INT((ROW(D61)-10)/30)+1=7,"CAM","")&amp;
IF(INT((ROW(D61)-10)/30)+1=8,"SCA","") &amp; ".exe")</f>
        <v>☐☐ WinCEL.exe</v>
      </c>
      <c r="D61" s="378" t="str">
        <f>IF(AND(QUOTE_Split_SoftwareHardware,QUOTE_InternetDownload),"",
 IF(N("If it is Cam, Do not Show XL")+AND(ROW(D61)&gt;=189,ROW(D61)&lt;=218),"","☐ XL" &amp;
IF(INT((ROW(D61)-10)/30)+1=1,"STEM","")&amp;
IF(INT((ROW(D61)-10)/30)+1=2,"Cell","")&amp;
IF(INT((ROW(D61)-10)/30)+1=3,"Rhizo","")&amp;
IF(INT((ROW(D61)-10)/30)+1=4,"RhizoT","")&amp;
IF(INT((ROW(D61)-10)/30)+1=5,"Folia","")&amp;
IF(INT((ROW(D61)-10)/30)+1=6,"Seedle","")&amp;
IF(INT((ROW(D61)-10)/30)+1=7,"Cam","")&amp;
IF(INT((ROW(D61)-10)/30)+1=8,"Scanopy","") &amp; ".xls"))</f>
        <v>☐ XLCell.xls</v>
      </c>
      <c r="E61" s="378" t="s">
        <v>299</v>
      </c>
      <c r="F61" s="379" t="s">
        <v>152</v>
      </c>
      <c r="G61" s="378" t="str">
        <f xml:space="preserve"> IF(N("If it is Cam, Do not Show XL")+AND(ROW(G61)&gt;=189,ROW(G61)&lt;=218),"","☐ XL Man")</f>
        <v>☐ XL Man</v>
      </c>
      <c r="H61" s="379" t="s">
        <v>280</v>
      </c>
      <c r="I61" s="307" t="s">
        <v>274</v>
      </c>
      <c r="J61" s="379" t="str">
        <f>IF(N("Si OR dessous = vrai, pas de box")+OR(
N("1 OR Tron ou CELL")+OR(AND(ROW(E61)&gt;=39,ROW(E61)&lt;=68),AND(ROW(E61)&gt;=99,ROW(E61)&lt;=128)),
N("2 Pas de système scanopy and range opy")+AND(ROW(E61)&gt;=219,ROW(E61)&lt;=248,SCANOPY_N_System&lt;2),
N("3 Avec LC") + IF(AND(IF(PROD_MostPopularScanner="LC",1,0), NOT(AND(ROW(E61)&gt;=129,ROW(E61)&lt;=158)), NOT(AND(ROW(E61)&gt;=189,ROW(E61)&lt;=218))),1,0)
),"","☐ ")
&amp;
IF(N("If it's OPY, put OMount Manual instead")+
AND(ROW(D61)&gt;=219,ROW(D61)&lt;=248),
IF(SCANOPY_N_System&gt;1,
IF(SCANOPY_IndexScanner=1,"α" &amp; SCANOPY_CameraModel,SCANOPY_CameraModel_Mini) &amp; " Man",""),
IF(N("Empty si OR = true . . .If it is Cell or Tron, Do not Show Scanner related items + Hide if LC is favorite on unavailable product")+OR(
AND(ROW(E61)&gt;=39,ROW(E61)&lt;=68),
AND(ROW(E61)&gt;=99,ROW(E61)&lt;=128),
AND(IF(PROD_MostPopularScanner="LC",1,0), NOT(AND(ROW(E61)&gt;=129,ROW(E61)&lt;=158)), NOT(AND(ROW(E61)&gt;=189,ROW(E61)&lt;=218))),
0=1),
    "", IF(1=N("Si système a un scanner différent du Scanner populaire alors différent, sinon Scanner populaire")+AND(NOT(ISERROR(SEARCH("System",J60))),LEFT(J60,2)&lt;&gt;LEFT(PROD_MostPopularScanner,2)),
LEFT(J60,SEARCH("00",J60)-3),
PROD_MostPopularScanner) &amp; " Install Man"))</f>
        <v/>
      </c>
      <c r="K61" s="378" t="str">
        <f>IF(N("If it is Cell or Tron or OPY, Do not Show Twain")+OR(AND(ROW(K61)&gt;=39,ROW(K61)&lt;=68),AND(ROW(K61)&gt;=99,ROW(K61)&lt;=128),AND(ROW(J61)&gt;=219,ROW(J61)&lt;=248)),"","☐ TWAIN")</f>
        <v/>
      </c>
      <c r="L61" s="379" t="str">
        <f>IF(AND(IF(PROD_MostPopularScanner="LC",1,0), NOT(AND(ROW(E61)&gt;=129,ROW(E61)&lt;=158)), NOT(AND(ROW(E61)&gt;=189,ROW(E61)&lt;=218))),"",
IF(N("Si OR dessous = vrai, pas de box")+OR(
N("1 OR Dendro+CELL, Tron+Folia,Cam")+OR(
AND(ROW(K61)&gt;=9,ROW(K61)&lt;=68),
AND(ROW(K61)&gt;=99,ROW(K61)&lt;=158),
AND(ROW(K61)&gt;=189,ROW(K61)&lt;=218)),
N("2 Pas de système scanopy and range opy")+AND(ROW(K61)&gt;=219,ROW(K61)&lt;=248,SCANOPY_N_System&lt;2),
N("3 Avec LC")&amp;IF(ISERROR(LEFT(J60,SEARCH("00",J60)-3)),"",LEFT(J60,SEARCH("00",J60)-3))="LC"),"","☐ ")
&amp;
IF(N("If it's OPY, put OMount Manual instead")+
AND(ROW(J61)&gt;=219,ROW(J61)&lt;=248),
IF(SCANOPY_N_System&gt;1,"OMount Man",""),
IF(N("If it is Dendro+CELL, Tron+Folia or Cam, Do not Show Scanner related items+No Video if LC")+OR(
AND(ROW(K61)&gt;=9,ROW(K61)&lt;=68),
AND(ROW(K61)&gt;=99,ROW(K61)&lt;=158),
AND(ROW(K61)&gt;=189,ROW(K61)&lt;=218),
IF(ISERROR(LEFT(J60,SEARCH("00",J60)-3)),"",LEFT(J60,SEARCH("00",J60)-3))="LC"),
    "", "Video " &amp; IF(1=N("Si système a un scanner différent du Scanner populaire alors différent, sinon Scanner populaire")+AND(NOT(ISERROR(SEARCH("System",J60))),LEFT(J60,2)&lt;&gt;LEFT(PROD_MostPopularScanner,2)),
LEFT(J60,SEARCH("00",J60)-3),
PROD_MostPopularScanner) &amp; " Install"))
)</f>
        <v/>
      </c>
      <c r="M61" s="378" t="str">
        <f>IF(N("If it is Dendro or Tron, Do not Show Color Analysis Video")+
OR(AND(ROW(L61)&gt;=9,ROW(L61)&lt;=38),
AND(ROW(L61)&gt;=99,ROW(L61)&lt;=128)), "","☐ Video ClrAna")</f>
        <v>☐ Video ClrAna</v>
      </c>
      <c r="N61" s="379" t="str">
        <f>IF(OR(INT((ROW(D61)-10)/30)+1=2,INT((ROW(D61)-10)/30)+1=4),"","☐ ")&amp;
IF(INT((ROW(D61)-10)/30)+1=1,"Scanner.cal","")&amp;
IF(INT((ROW(D61)-10)/30)+1=2,"","")&amp;
IF(INT((ROW(D61)-10)/30)+1=3,"Scanner.cal","")&amp;
IF(INT((ROW(D61)-10)/30)+1=4,"","")&amp;
IF(INT((ROW(D61)-10)/30)+1=5,"Scanner.cal","")&amp;
IF(INT((ROW(D61)-10)/30)+1=6,"Scanner.cal","")&amp;
IF(INT((ROW(D61)-10)/30)+1=7,"Scanner.cal","")&amp;
IF(INT((ROW(D61)-10)/30)+1=8,"Indiv" &amp; " Lens.cal","")</f>
        <v/>
      </c>
      <c r="O61" s="307" t="str">
        <f>IF(AND(ROW(L61)&gt;=9,ROW(L61)&lt;=38),"☐ RegentTarget.blu","")</f>
        <v/>
      </c>
      <c r="P61" s="215"/>
      <c r="Q61" s="215"/>
    </row>
    <row r="62" spans="1:17" ht="24" customHeight="1" x14ac:dyDescent="0.2">
      <c r="A62" s="428" t="s">
        <v>259</v>
      </c>
      <c r="B62" s="224" t="s">
        <v>259</v>
      </c>
      <c r="C62" s="307" t="s">
        <v>152</v>
      </c>
      <c r="D62" s="307" t="str">
        <f xml:space="preserve"> IF(N("If it is Cam, Do not Show XL")+AND(ROW(D62)&gt;=189,ROW(D62)&lt;=218),"","☐ XL Man")</f>
        <v>☐ XL Man</v>
      </c>
      <c r="E62" s="437" t="str">
        <f>IF(N("Si OR dessous = vrai, pas de box")+OR(
N("1 OR Tron ou CELL")+OR(AND(ROW(K61)&gt;=39,ROW(K61)&lt;=68),AND(ROW(K61)&gt;=99,ROW(K61)&lt;=128)),
N("2 Pas de système scanopy and range opy")+AND(ROW(K61)&gt;=219,ROW(K61)&lt;=248,SCANOPY_N_System&lt;2),
N("3 Avec LC")&amp;IF(ISERROR(LEFT(J60,SEARCH("00",J60)-3)),"",LEFT(J60,SEARCH("00",J60)-3))="LC"),"","☐ ")
&amp;
IF(N("If it's OPY, put OMount Manual instead")+
AND(ROW(J61)&gt;=219,ROW(J61)&lt;=248),
IF(SCANOPY_N_System&gt;1,"OMount Man",""),
IF(N("If it is Cell or Tron, Do not Show Scanner related items")+OR(
AND(ROW(K61)&gt;=39,ROW(K61)&lt;=68),
AND(ROW(K61)&gt;=99,ROW(K61)&lt;=128)),
    "", IF(1=N("Si système a un scanner différent du Scanner populaire alors différent, sinon Scanner populaire")+AND(NOT(ISERROR(SEARCH("System",J60))),LEFT(J60,2)&lt;&gt;LEFT(PROD_MostPopularScanner,2)),
LEFT(J60,SEARCH("00",J60)-3),
PROD_MostPopularScanner) &amp; " Install Man"))</f>
        <v/>
      </c>
      <c r="F62" s="380" t="s">
        <v>275</v>
      </c>
      <c r="G62" s="307" t="s">
        <v>274</v>
      </c>
      <c r="H62" s="439" t="s">
        <v>250</v>
      </c>
      <c r="I62" s="381"/>
      <c r="J62" s="307" t="str">
        <f ca="1">IF(AND(
INDIRECT(
IF(INT((ROW(D62)-10)/30)+1=1,"DENDRO","")&amp;
IF(INT((ROW(D62)-10)/30)+1=2,"CELL","")&amp;
IF(INT((ROW(D62)-10)/30)+1=3,"RHIZO","")&amp;
IF(INT((ROW(D62)-10)/30)+1=4,"RHIZOTRON","")&amp;
IF(INT((ROW(D62)-10)/30)+1=5,"FOLIA","")&amp;
IF(INT((ROW(D62)-10)/30)+1=6,"SEEDLE","")&amp;
IF(INT((ROW(D62)-10)/30)+1=7,"CAM","")&amp;
IF(INT((ROW(D62)-10)/30)+1=8,"SCANOPY","") &amp; "_ChkB_RemoteUpdate"),
INDIRECT(
IF(INT((ROW(D62)-10)/30)+1=1,"DENDRO","")&amp;
IF(INT((ROW(D62)-10)/30)+1=2,"CELL","")&amp;
IF(INT((ROW(D62)-10)/30)+1=3,"RHIZO","")&amp;
IF(INT((ROW(D62)-10)/30)+1=4,"RHIZOTRON","")&amp;
IF(INT((ROW(D62)-10)/30)+1=5,"FOLIA","")&amp;
IF(INT((ROW(D62)-10)/30)+1=6,"SEEDLE","")&amp;
IF(INT((ROW(D62)-10)/30)+1=7,"CAM","")&amp;
IF(INT((ROW(D62)-10)/30)+1=8,"SCANOPY","") &amp; "_ChkBox_UpgradeUpdate")),
"Clé de bois ou Download. Reprogrammation clé client",
"☐ " &amp; IF(AND(QUOTE_Split_SoftwareHardware,QUOTE_InternetDownload),"Man ds env. ""Documents"", Clé ds bulle collée sur env.","Reliée au Man"))</f>
        <v>☐ Reliée au Man</v>
      </c>
      <c r="K62" s="265"/>
      <c r="L62" s="223"/>
      <c r="M62" s="439"/>
      <c r="N62" s="380"/>
      <c r="O62" s="307"/>
      <c r="P62" s="215"/>
      <c r="Q62" s="215"/>
    </row>
    <row r="63" spans="1:17" ht="16.25" customHeight="1" x14ac:dyDescent="0.2">
      <c r="A63" s="416"/>
      <c r="B63" s="291"/>
      <c r="C63" s="907" t="str">
        <f>IF((CELL_N_UpgradeUpdate + CELL_N_Software ) = 2,"",LEFT(INDEX(CELL_SoftwareFullNames,CELL_IndexSoftware),FIND(" ",INDEX(CELL_SoftwareFullNames,CELL_IndexSoftware),FIND(" ",INDEX(CELL_SoftwareFullNames,CELL_IndexSoftware))+1)) &amp;
CELL_YearMostRecent )</f>
        <v/>
      </c>
      <c r="D63" s="907"/>
      <c r="E63" s="299"/>
      <c r="F63" s="299"/>
      <c r="G63" s="270" t="str">
        <f>IF(CELL_OptionXL*(CELL_N_Software+CELL_N_UpgradeUpdate-2)&gt;=((ROW(G63)-ROW($G$39))/4+1),"XLCELL "&amp; CELL_YearMostRecent,"")</f>
        <v/>
      </c>
      <c r="H63" s="227"/>
      <c r="I63" s="227"/>
      <c r="J63" s="270" t="str">
        <f>IF(CELL_N_Software-1&gt;=((ROW(G63)-ROW($G$39))/4+1),IF(N_SystemTotal=0,"Software Only",IF(N_STDScanners+N_LAScanners+N_LCScanners=0,"Software Sans Scanner","Software Avec Scanner")),
IF(CELL_N_UpgradeUpdate-1&gt;=((ROW(G63)-ROW($G$39))/4+1)-(CELL_N_Software-1),"Update",""))</f>
        <v/>
      </c>
      <c r="K63" s="227"/>
      <c r="L63" s="221"/>
      <c r="M63" s="221"/>
      <c r="N63" s="221"/>
      <c r="O63" s="377"/>
      <c r="P63" s="215"/>
      <c r="Q63" s="215"/>
    </row>
    <row r="64" spans="1:17" ht="24" customHeight="1" x14ac:dyDescent="0.2">
      <c r="A64" s="428" t="s">
        <v>258</v>
      </c>
      <c r="B64" s="287" t="s">
        <v>258</v>
      </c>
      <c r="C64" s="378" t="str">
        <f>IF(AND(QUOTE_Split_SoftwareHardware,QUOTE_InternetDownload),"",
"☐☐ Win" &amp;
IF(INT((ROW(D64)-10)/30)+1=1,"DEN","")&amp;
IF(INT((ROW(D64)-10)/30)+1=2,"CEL","")&amp;
IF(INT((ROW(D64)-10)/30)+1=3,"RHI","")&amp;
IF(INT((ROW(D64)-10)/30)+1=4,"RT","")&amp;
IF(INT((ROW(D64)-10)/30)+1=5,"FOL","")&amp;
IF(INT((ROW(D64)-10)/30)+1=6,"SEE","")&amp;
IF(INT((ROW(D64)-10)/30)+1=7,"CAM","")&amp;
IF(INT((ROW(D64)-10)/30)+1=8,"SCA","") &amp; ".exe")</f>
        <v>☐☐ WinCEL.exe</v>
      </c>
      <c r="D64" s="378" t="str">
        <f>IF(AND(QUOTE_Split_SoftwareHardware,QUOTE_InternetDownload),"",
 IF(N("If it is Cam, Do not Show XL")+AND(ROW(D64)&gt;=189,ROW(D64)&lt;=218),"","☐ XL" &amp;
IF(INT((ROW(D64)-10)/30)+1=1,"STEM","")&amp;
IF(INT((ROW(D64)-10)/30)+1=2,"Cell","")&amp;
IF(INT((ROW(D64)-10)/30)+1=3,"Rhizo","")&amp;
IF(INT((ROW(D64)-10)/30)+1=4,"RhizoT","")&amp;
IF(INT((ROW(D64)-10)/30)+1=5,"Folia","")&amp;
IF(INT((ROW(D64)-10)/30)+1=6,"Seedle","")&amp;
IF(INT((ROW(D64)-10)/30)+1=7,"Cam","")&amp;
IF(INT((ROW(D64)-10)/30)+1=8,"Scanopy","") &amp; ".xls"))</f>
        <v>☐ XLCell.xls</v>
      </c>
      <c r="E64" s="378" t="s">
        <v>299</v>
      </c>
      <c r="F64" s="379" t="s">
        <v>152</v>
      </c>
      <c r="G64" s="378" t="str">
        <f xml:space="preserve"> IF(N("If it is Cam, Do not Show XL")+AND(ROW(G64)&gt;=189,ROW(G64)&lt;=218),"","☐ XL Man")</f>
        <v>☐ XL Man</v>
      </c>
      <c r="H64" s="379" t="s">
        <v>280</v>
      </c>
      <c r="I64" s="307" t="s">
        <v>274</v>
      </c>
      <c r="J64" s="379" t="str">
        <f>IF(N("Si OR dessous = vrai, pas de box")+OR(
N("1 OR Tron ou CELL")+OR(AND(ROW(E64)&gt;=39,ROW(E64)&lt;=68),AND(ROW(E64)&gt;=99,ROW(E64)&lt;=128)),
N("2 Pas de système scanopy and range opy")+AND(ROW(E64)&gt;=219,ROW(E64)&lt;=248,SCANOPY_N_System&lt;2),
N("3 Avec LC") + IF(AND(IF(PROD_MostPopularScanner="LC",1,0), NOT(AND(ROW(E64)&gt;=129,ROW(E64)&lt;=158)), NOT(AND(ROW(E64)&gt;=189,ROW(E64)&lt;=218))),1,0)
),"","☐ ")
&amp;
IF(N("If it's OPY, put OMount Manual instead")+
AND(ROW(D64)&gt;=219,ROW(D64)&lt;=248),
IF(SCANOPY_N_System&gt;1,
IF(SCANOPY_IndexScanner=1,"α" &amp; SCANOPY_CameraModel,SCANOPY_CameraModel_Mini) &amp; " Man",""),
IF(N("Empty si OR = true . . .If it is Cell or Tron, Do not Show Scanner related items + Hide if LC is favorite on unavailable product")+OR(
AND(ROW(E64)&gt;=39,ROW(E64)&lt;=68),
AND(ROW(E64)&gt;=99,ROW(E64)&lt;=128),
AND(IF(PROD_MostPopularScanner="LC",1,0), NOT(AND(ROW(E64)&gt;=129,ROW(E64)&lt;=158)), NOT(AND(ROW(E64)&gt;=189,ROW(E64)&lt;=218))),
0=1),
    "", IF(1=N("Si système a un scanner différent du Scanner populaire alors différent, sinon Scanner populaire")+AND(NOT(ISERROR(SEARCH("System",J63))),LEFT(J63,2)&lt;&gt;LEFT(PROD_MostPopularScanner,2)),
LEFT(J63,SEARCH("00",J63)-3),
PROD_MostPopularScanner) &amp; " Install Man"))</f>
        <v/>
      </c>
      <c r="K64" s="378" t="str">
        <f>IF(N("If it is Cell or Tron or OPY, Do not Show Twain")+OR(AND(ROW(K64)&gt;=39,ROW(K64)&lt;=68),AND(ROW(K64)&gt;=99,ROW(K64)&lt;=128),AND(ROW(J64)&gt;=219,ROW(J64)&lt;=248)),"","☐ TWAIN")</f>
        <v/>
      </c>
      <c r="L64" s="379" t="str">
        <f>IF(AND(IF(PROD_MostPopularScanner="LC",1,0), NOT(AND(ROW(E64)&gt;=129,ROW(E64)&lt;=158)), NOT(AND(ROW(E64)&gt;=189,ROW(E64)&lt;=218))),"",
IF(N("Si OR dessous = vrai, pas de box")+OR(
N("1 OR Dendro+CELL, Tron+Folia,Cam")+OR(
AND(ROW(K64)&gt;=9,ROW(K64)&lt;=68),
AND(ROW(K64)&gt;=99,ROW(K64)&lt;=158),
AND(ROW(K64)&gt;=189,ROW(K64)&lt;=218)),
N("2 Pas de système scanopy and range opy")+AND(ROW(K64)&gt;=219,ROW(K64)&lt;=248,SCANOPY_N_System&lt;2),
N("3 Avec LC")&amp;IF(ISERROR(LEFT(J63,SEARCH("00",J63)-3)),"",LEFT(J63,SEARCH("00",J63)-3))="LC"),"","☐ ")
&amp;
IF(N("If it's OPY, put OMount Manual instead")+
AND(ROW(J64)&gt;=219,ROW(J64)&lt;=248),
IF(SCANOPY_N_System&gt;1,"OMount Man",""),
IF(N("If it is Dendro+CELL, Tron+Folia or Cam, Do not Show Scanner related items+No Video if LC")+OR(
AND(ROW(K64)&gt;=9,ROW(K64)&lt;=68),
AND(ROW(K64)&gt;=99,ROW(K64)&lt;=158),
AND(ROW(K64)&gt;=189,ROW(K64)&lt;=218),
IF(ISERROR(LEFT(J63,SEARCH("00",J63)-3)),"",LEFT(J63,SEARCH("00",J63)-3))="LC"),
    "", "Video " &amp; IF(1=N("Si système a un scanner différent du Scanner populaire alors différent, sinon Scanner populaire")+AND(NOT(ISERROR(SEARCH("System",J63))),LEFT(J63,2)&lt;&gt;LEFT(PROD_MostPopularScanner,2)),
LEFT(J63,SEARCH("00",J63)-3),
PROD_MostPopularScanner) &amp; " Install"))
)</f>
        <v/>
      </c>
      <c r="M64" s="378" t="str">
        <f>IF(N("If it is Dendro or Tron, Do not Show Color Analysis Video")+
OR(AND(ROW(L64)&gt;=9,ROW(L64)&lt;=38),
AND(ROW(L64)&gt;=99,ROW(L64)&lt;=128)), "","☐ Video ClrAna")</f>
        <v>☐ Video ClrAna</v>
      </c>
      <c r="N64" s="379" t="str">
        <f>IF(OR(INT((ROW(D64)-10)/30)+1=2,INT((ROW(D64)-10)/30)+1=4),"","☐ ")&amp;
IF(INT((ROW(D64)-10)/30)+1=1,"Scanner.cal","")&amp;
IF(INT((ROW(D64)-10)/30)+1=2,"","")&amp;
IF(INT((ROW(D64)-10)/30)+1=3,"Scanner.cal","")&amp;
IF(INT((ROW(D64)-10)/30)+1=4,"","")&amp;
IF(INT((ROW(D64)-10)/30)+1=5,"Scanner.cal","")&amp;
IF(INT((ROW(D64)-10)/30)+1=6,"Scanner.cal","")&amp;
IF(INT((ROW(D64)-10)/30)+1=7,"Scanner.cal","")&amp;
IF(INT((ROW(D64)-10)/30)+1=8,"Indiv" &amp; " Lens.cal","")</f>
        <v/>
      </c>
      <c r="O64" s="307" t="str">
        <f>IF(AND(ROW(L64)&gt;=9,ROW(L64)&lt;=38),"☐ RegentTarget.blu","")</f>
        <v/>
      </c>
      <c r="P64" s="215"/>
      <c r="Q64" s="215"/>
    </row>
    <row r="65" spans="1:17" ht="24" customHeight="1" x14ac:dyDescent="0.2">
      <c r="A65" s="428" t="s">
        <v>259</v>
      </c>
      <c r="B65" s="224" t="s">
        <v>259</v>
      </c>
      <c r="C65" s="307" t="s">
        <v>152</v>
      </c>
      <c r="D65" s="307" t="str">
        <f xml:space="preserve"> IF(N("If it is Cam, Do not Show XL")+AND(ROW(D65)&gt;=189,ROW(D65)&lt;=218),"","☐ XL Man")</f>
        <v>☐ XL Man</v>
      </c>
      <c r="E65" s="437" t="str">
        <f>IF(N("Si OR dessous = vrai, pas de box")+OR(
N("1 OR Tron ou CELL")+OR(AND(ROW(K64)&gt;=39,ROW(K64)&lt;=68),AND(ROW(K64)&gt;=99,ROW(K64)&lt;=128)),
N("2 Pas de système scanopy and range opy")+AND(ROW(K64)&gt;=219,ROW(K64)&lt;=248,SCANOPY_N_System&lt;2),
N("3 Avec LC")&amp;IF(ISERROR(LEFT(J63,SEARCH("00",J63)-3)),"",LEFT(J63,SEARCH("00",J63)-3))="LC"),"","☐ ")
&amp;
IF(N("If it's OPY, put OMount Manual instead")+
AND(ROW(J64)&gt;=219,ROW(J64)&lt;=248),
IF(SCANOPY_N_System&gt;1,"OMount Man",""),
IF(N("If it is Cell or Tron, Do not Show Scanner related items")+OR(
AND(ROW(K64)&gt;=39,ROW(K64)&lt;=68),
AND(ROW(K64)&gt;=99,ROW(K64)&lt;=128)),
    "", IF(1=N("Si système a un scanner différent du Scanner populaire alors différent, sinon Scanner populaire")+AND(NOT(ISERROR(SEARCH("System",J63))),LEFT(J63,2)&lt;&gt;LEFT(PROD_MostPopularScanner,2)),
LEFT(J63,SEARCH("00",J63)-3),
PROD_MostPopularScanner) &amp; " Install Man"))</f>
        <v/>
      </c>
      <c r="F65" s="380" t="s">
        <v>275</v>
      </c>
      <c r="G65" s="307" t="s">
        <v>274</v>
      </c>
      <c r="H65" s="439" t="s">
        <v>250</v>
      </c>
      <c r="I65" s="381"/>
      <c r="J65" s="307" t="str">
        <f ca="1">IF(AND(
INDIRECT(
IF(INT((ROW(D65)-10)/30)+1=1,"DENDRO","")&amp;
IF(INT((ROW(D65)-10)/30)+1=2,"CELL","")&amp;
IF(INT((ROW(D65)-10)/30)+1=3,"RHIZO","")&amp;
IF(INT((ROW(D65)-10)/30)+1=4,"RHIZOTRON","")&amp;
IF(INT((ROW(D65)-10)/30)+1=5,"FOLIA","")&amp;
IF(INT((ROW(D65)-10)/30)+1=6,"SEEDLE","")&amp;
IF(INT((ROW(D65)-10)/30)+1=7,"CAM","")&amp;
IF(INT((ROW(D65)-10)/30)+1=8,"SCANOPY","") &amp; "_ChkB_RemoteUpdate"),
INDIRECT(
IF(INT((ROW(D65)-10)/30)+1=1,"DENDRO","")&amp;
IF(INT((ROW(D65)-10)/30)+1=2,"CELL","")&amp;
IF(INT((ROW(D65)-10)/30)+1=3,"RHIZO","")&amp;
IF(INT((ROW(D65)-10)/30)+1=4,"RHIZOTRON","")&amp;
IF(INT((ROW(D65)-10)/30)+1=5,"FOLIA","")&amp;
IF(INT((ROW(D65)-10)/30)+1=6,"SEEDLE","")&amp;
IF(INT((ROW(D65)-10)/30)+1=7,"CAM","")&amp;
IF(INT((ROW(D65)-10)/30)+1=8,"SCANOPY","") &amp; "_ChkBox_UpgradeUpdate")),
"Clé de bois ou Download. Reprogrammation clé client",
"☐ " &amp; IF(AND(QUOTE_Split_SoftwareHardware,QUOTE_InternetDownload),"Man ds env. ""Documents"", Clé ds bulle collée sur env.","Reliée au Man"))</f>
        <v>☐ Reliée au Man</v>
      </c>
      <c r="K65" s="265"/>
      <c r="L65" s="223"/>
      <c r="M65" s="439"/>
      <c r="N65" s="380"/>
      <c r="O65" s="307"/>
      <c r="P65" s="215"/>
      <c r="Q65" s="215"/>
    </row>
    <row r="66" spans="1:17" ht="16.25" customHeight="1" x14ac:dyDescent="0.2">
      <c r="A66" s="416"/>
      <c r="B66" s="291"/>
      <c r="C66" s="907" t="str">
        <f>IF((CELL_N_UpgradeUpdate + CELL_N_Software ) = 2,"",LEFT(INDEX(CELL_SoftwareFullNames,CELL_IndexSoftware),FIND(" ",INDEX(CELL_SoftwareFullNames,CELL_IndexSoftware),FIND(" ",INDEX(CELL_SoftwareFullNames,CELL_IndexSoftware))+1)) &amp;
CELL_YearMostRecent )</f>
        <v/>
      </c>
      <c r="D66" s="907"/>
      <c r="E66" s="299"/>
      <c r="F66" s="299"/>
      <c r="G66" s="270" t="str">
        <f>IF(CELL_OptionXL*(CELL_N_Software+CELL_N_UpgradeUpdate-2)&gt;=((ROW(G66)-ROW($G$39))/4+1),"XLCELL "&amp; CELL_YearMostRecent,"")</f>
        <v/>
      </c>
      <c r="H66" s="227"/>
      <c r="I66" s="227"/>
      <c r="J66" s="270" t="str">
        <f>IF(CELL_N_Software-1&gt;=((ROW(G66)-ROW($G$39))/4+1),IF(N_SystemTotal=0,"Software Only",IF(N_STDScanners+N_LAScanners+N_LCScanners=0,"Software Sans Scanner","Software Avec Scanner")),
IF(CELL_N_UpgradeUpdate-1&gt;=((ROW(G66)-ROW($G$39))/4+1)-(CELL_N_Software-1),"Update",""))</f>
        <v/>
      </c>
      <c r="K66" s="227"/>
      <c r="L66" s="221"/>
      <c r="M66" s="221"/>
      <c r="N66" s="221"/>
      <c r="O66" s="377"/>
      <c r="P66" s="215"/>
      <c r="Q66" s="215"/>
    </row>
    <row r="67" spans="1:17" ht="24" customHeight="1" x14ac:dyDescent="0.2">
      <c r="A67" s="428" t="s">
        <v>258</v>
      </c>
      <c r="B67" s="287" t="s">
        <v>258</v>
      </c>
      <c r="C67" s="378" t="str">
        <f>IF(AND(QUOTE_Split_SoftwareHardware,QUOTE_InternetDownload),"",
"☐☐ Win" &amp;
IF(INT((ROW(D67)-10)/30)+1=1,"DEN","")&amp;
IF(INT((ROW(D67)-10)/30)+1=2,"CEL","")&amp;
IF(INT((ROW(D67)-10)/30)+1=3,"RHI","")&amp;
IF(INT((ROW(D67)-10)/30)+1=4,"RT","")&amp;
IF(INT((ROW(D67)-10)/30)+1=5,"FOL","")&amp;
IF(INT((ROW(D67)-10)/30)+1=6,"SEE","")&amp;
IF(INT((ROW(D67)-10)/30)+1=7,"CAM","")&amp;
IF(INT((ROW(D67)-10)/30)+1=8,"SCA","") &amp; ".exe")</f>
        <v>☐☐ WinCEL.exe</v>
      </c>
      <c r="D67" s="378" t="str">
        <f>IF(AND(QUOTE_Split_SoftwareHardware,QUOTE_InternetDownload),"",
 IF(N("If it is Cam, Do not Show XL")+AND(ROW(D67)&gt;=189,ROW(D67)&lt;=218),"","☐ XL" &amp;
IF(INT((ROW(D67)-10)/30)+1=1,"STEM","")&amp;
IF(INT((ROW(D67)-10)/30)+1=2,"Cell","")&amp;
IF(INT((ROW(D67)-10)/30)+1=3,"Rhizo","")&amp;
IF(INT((ROW(D67)-10)/30)+1=4,"RhizoT","")&amp;
IF(INT((ROW(D67)-10)/30)+1=5,"Folia","")&amp;
IF(INT((ROW(D67)-10)/30)+1=6,"Seedle","")&amp;
IF(INT((ROW(D67)-10)/30)+1=7,"Cam","")&amp;
IF(INT((ROW(D67)-10)/30)+1=8,"Scanopy","") &amp; ".xls"))</f>
        <v>☐ XLCell.xls</v>
      </c>
      <c r="E67" s="378" t="s">
        <v>299</v>
      </c>
      <c r="F67" s="379" t="s">
        <v>152</v>
      </c>
      <c r="G67" s="378" t="str">
        <f xml:space="preserve"> IF(N("If it is Cam, Do not Show XL")+AND(ROW(G67)&gt;=189,ROW(G67)&lt;=218),"","☐ XL Man")</f>
        <v>☐ XL Man</v>
      </c>
      <c r="H67" s="379" t="s">
        <v>280</v>
      </c>
      <c r="I67" s="307" t="s">
        <v>274</v>
      </c>
      <c r="J67" s="379" t="str">
        <f>IF(N("Si OR dessous = vrai, pas de box")+OR(
N("1 OR Tron ou CELL")+OR(AND(ROW(E67)&gt;=39,ROW(E67)&lt;=68),AND(ROW(E67)&gt;=99,ROW(E67)&lt;=128)),
N("2 Pas de système scanopy and range opy")+AND(ROW(E67)&gt;=219,ROW(E67)&lt;=248,SCANOPY_N_System&lt;2),
N("3 Avec LC") + IF(AND(IF(PROD_MostPopularScanner="LC",1,0), NOT(AND(ROW(E67)&gt;=129,ROW(E67)&lt;=158)), NOT(AND(ROW(E67)&gt;=189,ROW(E67)&lt;=218))),1,0)
),"","☐ ")
&amp;
IF(N("If it's OPY, put OMount Manual instead")+
AND(ROW(D67)&gt;=219,ROW(D67)&lt;=248),
IF(SCANOPY_N_System&gt;1,
IF(SCANOPY_IndexScanner=1,"α" &amp; SCANOPY_CameraModel,SCANOPY_CameraModel_Mini) &amp; " Man",""),
IF(N("Empty si OR = true . . .If it is Cell or Tron, Do not Show Scanner related items + Hide if LC is favorite on unavailable product")+OR(
AND(ROW(E67)&gt;=39,ROW(E67)&lt;=68),
AND(ROW(E67)&gt;=99,ROW(E67)&lt;=128),
AND(IF(PROD_MostPopularScanner="LC",1,0), NOT(AND(ROW(E67)&gt;=129,ROW(E67)&lt;=158)), NOT(AND(ROW(E67)&gt;=189,ROW(E67)&lt;=218))),
0=1),
    "", IF(1=N("Si système a un scanner différent du Scanner populaire alors différent, sinon Scanner populaire")+AND(NOT(ISERROR(SEARCH("System",J66))),LEFT(J66,2)&lt;&gt;LEFT(PROD_MostPopularScanner,2)),
LEFT(J66,SEARCH("00",J66)-3),
PROD_MostPopularScanner) &amp; " Install Man"))</f>
        <v/>
      </c>
      <c r="K67" s="378" t="str">
        <f>IF(N("If it is Cell or Tron or OPY, Do not Show Twain")+OR(AND(ROW(K67)&gt;=39,ROW(K67)&lt;=68),AND(ROW(K67)&gt;=99,ROW(K67)&lt;=128),AND(ROW(J67)&gt;=219,ROW(J67)&lt;=248)),"","☐ TWAIN")</f>
        <v/>
      </c>
      <c r="L67" s="379" t="str">
        <f>IF(AND(IF(PROD_MostPopularScanner="LC",1,0), NOT(AND(ROW(E67)&gt;=129,ROW(E67)&lt;=158)), NOT(AND(ROW(E67)&gt;=189,ROW(E67)&lt;=218))),"",
IF(N("Si OR dessous = vrai, pas de box")+OR(
N("1 OR Dendro+CELL, Tron+Folia,Cam")+OR(
AND(ROW(K67)&gt;=9,ROW(K67)&lt;=68),
AND(ROW(K67)&gt;=99,ROW(K67)&lt;=158),
AND(ROW(K67)&gt;=189,ROW(K67)&lt;=218)),
N("2 Pas de système scanopy and range opy")+AND(ROW(K67)&gt;=219,ROW(K67)&lt;=248,SCANOPY_N_System&lt;2),
N("3 Avec LC")&amp;IF(ISERROR(LEFT(J66,SEARCH("00",J66)-3)),"",LEFT(J66,SEARCH("00",J66)-3))="LC"),"","☐ ")
&amp;
IF(N("If it's OPY, put OMount Manual instead")+
AND(ROW(J67)&gt;=219,ROW(J67)&lt;=248),
IF(SCANOPY_N_System&gt;1,"OMount Man",""),
IF(N("If it is Dendro+CELL, Tron+Folia or Cam, Do not Show Scanner related items+No Video if LC")+OR(
AND(ROW(K67)&gt;=9,ROW(K67)&lt;=68),
AND(ROW(K67)&gt;=99,ROW(K67)&lt;=158),
AND(ROW(K67)&gt;=189,ROW(K67)&lt;=218),
IF(ISERROR(LEFT(J66,SEARCH("00",J66)-3)),"",LEFT(J66,SEARCH("00",J66)-3))="LC"),
    "", "Video " &amp; IF(1=N("Si système a un scanner différent du Scanner populaire alors différent, sinon Scanner populaire")+AND(NOT(ISERROR(SEARCH("System",J66))),LEFT(J66,2)&lt;&gt;LEFT(PROD_MostPopularScanner,2)),
LEFT(J66,SEARCH("00",J66)-3),
PROD_MostPopularScanner) &amp; " Install"))
)</f>
        <v/>
      </c>
      <c r="M67" s="378" t="str">
        <f>IF(N("If it is Dendro or Tron, Do not Show Color Analysis Video")+
OR(AND(ROW(L67)&gt;=9,ROW(L67)&lt;=38),
AND(ROW(L67)&gt;=99,ROW(L67)&lt;=128)), "","☐ Video ClrAna")</f>
        <v>☐ Video ClrAna</v>
      </c>
      <c r="N67" s="379" t="str">
        <f>IF(OR(INT((ROW(D67)-10)/30)+1=2,INT((ROW(D67)-10)/30)+1=4),"","☐ ")&amp;
IF(INT((ROW(D67)-10)/30)+1=1,"Scanner.cal","")&amp;
IF(INT((ROW(D67)-10)/30)+1=2,"","")&amp;
IF(INT((ROW(D67)-10)/30)+1=3,"Scanner.cal","")&amp;
IF(INT((ROW(D67)-10)/30)+1=4,"","")&amp;
IF(INT((ROW(D67)-10)/30)+1=5,"Scanner.cal","")&amp;
IF(INT((ROW(D67)-10)/30)+1=6,"Scanner.cal","")&amp;
IF(INT((ROW(D67)-10)/30)+1=7,"Scanner.cal","")&amp;
IF(INT((ROW(D67)-10)/30)+1=8,"Indiv" &amp; " Lens.cal","")</f>
        <v/>
      </c>
      <c r="O67" s="307" t="str">
        <f>IF(AND(ROW(L67)&gt;=9,ROW(L67)&lt;=38),"☐ RegentTarget.blu","")</f>
        <v/>
      </c>
      <c r="P67" s="215"/>
      <c r="Q67" s="215"/>
    </row>
    <row r="68" spans="1:17" ht="24" customHeight="1" x14ac:dyDescent="0.2">
      <c r="A68" s="428" t="s">
        <v>259</v>
      </c>
      <c r="B68" s="224" t="s">
        <v>259</v>
      </c>
      <c r="C68" s="307" t="s">
        <v>152</v>
      </c>
      <c r="D68" s="307" t="str">
        <f xml:space="preserve"> IF(N("If it is Cam, Do not Show XL")+AND(ROW(D68)&gt;=189,ROW(D68)&lt;=218),"","☐ XL Man")</f>
        <v>☐ XL Man</v>
      </c>
      <c r="E68" s="437" t="str">
        <f>IF(N("Si OR dessous = vrai, pas de box")+OR(
N("1 OR Tron ou CELL")+OR(AND(ROW(K67)&gt;=39,ROW(K67)&lt;=68),AND(ROW(K67)&gt;=99,ROW(K67)&lt;=128)),
N("2 Pas de système scanopy and range opy")+AND(ROW(K67)&gt;=219,ROW(K67)&lt;=248,SCANOPY_N_System&lt;2),
N("3 Avec LC")&amp;IF(ISERROR(LEFT(J66,SEARCH("00",J66)-3)),"",LEFT(J66,SEARCH("00",J66)-3))="LC"),"","☐ ")
&amp;
IF(N("If it's OPY, put OMount Manual instead")+
AND(ROW(J67)&gt;=219,ROW(J67)&lt;=248),
IF(SCANOPY_N_System&gt;1,"OMount Man",""),
IF(N("If it is Cell or Tron, Do not Show Scanner related items")+OR(
AND(ROW(K67)&gt;=39,ROW(K67)&lt;=68),
AND(ROW(K67)&gt;=99,ROW(K67)&lt;=128)),
    "", IF(1=N("Si système a un scanner différent du Scanner populaire alors différent, sinon Scanner populaire")+AND(NOT(ISERROR(SEARCH("System",J66))),LEFT(J66,2)&lt;&gt;LEFT(PROD_MostPopularScanner,2)),
LEFT(J66,SEARCH("00",J66)-3),
PROD_MostPopularScanner) &amp; " Install Man"))</f>
        <v/>
      </c>
      <c r="F68" s="380" t="s">
        <v>275</v>
      </c>
      <c r="G68" s="307" t="s">
        <v>274</v>
      </c>
      <c r="H68" s="439" t="s">
        <v>250</v>
      </c>
      <c r="I68" s="381"/>
      <c r="J68" s="307" t="str">
        <f ca="1">IF(AND(
INDIRECT(
IF(INT((ROW(D68)-10)/30)+1=1,"DENDRO","")&amp;
IF(INT((ROW(D68)-10)/30)+1=2,"CELL","")&amp;
IF(INT((ROW(D68)-10)/30)+1=3,"RHIZO","")&amp;
IF(INT((ROW(D68)-10)/30)+1=4,"RHIZOTRON","")&amp;
IF(INT((ROW(D68)-10)/30)+1=5,"FOLIA","")&amp;
IF(INT((ROW(D68)-10)/30)+1=6,"SEEDLE","")&amp;
IF(INT((ROW(D68)-10)/30)+1=7,"CAM","")&amp;
IF(INT((ROW(D68)-10)/30)+1=8,"SCANOPY","") &amp; "_ChkB_RemoteUpdate"),
INDIRECT(
IF(INT((ROW(D68)-10)/30)+1=1,"DENDRO","")&amp;
IF(INT((ROW(D68)-10)/30)+1=2,"CELL","")&amp;
IF(INT((ROW(D68)-10)/30)+1=3,"RHIZO","")&amp;
IF(INT((ROW(D68)-10)/30)+1=4,"RHIZOTRON","")&amp;
IF(INT((ROW(D68)-10)/30)+1=5,"FOLIA","")&amp;
IF(INT((ROW(D68)-10)/30)+1=6,"SEEDLE","")&amp;
IF(INT((ROW(D68)-10)/30)+1=7,"CAM","")&amp;
IF(INT((ROW(D68)-10)/30)+1=8,"SCANOPY","") &amp; "_ChkBox_UpgradeUpdate")),
"Clé de bois ou Download. Reprogrammation clé client",
"☐ " &amp; IF(AND(QUOTE_Split_SoftwareHardware,QUOTE_InternetDownload),"Man ds env. ""Documents"", Clé ds bulle collée sur env.","Reliée au Man"))</f>
        <v>☐ Reliée au Man</v>
      </c>
      <c r="K68" s="265"/>
      <c r="L68" s="223"/>
      <c r="M68" s="439"/>
      <c r="N68" s="380"/>
      <c r="O68" s="307"/>
      <c r="P68" s="215"/>
      <c r="Q68" s="215"/>
    </row>
    <row r="69" spans="1:17" ht="16.25" customHeight="1" x14ac:dyDescent="0.2">
      <c r="A69" s="417"/>
      <c r="B69" s="292"/>
      <c r="C69" s="906" t="str">
        <f>IF((RHIZO_N_UpgradeUpdate + RHIZO_N_Software ) = 2,"",LEFT(INDEX(RHIZO_SoftwareFullNames,RHIZO_IndexSoftware),FIND(" ",INDEX(RHIZO_SoftwareFullNames,RHIZO_IndexSoftware),FIND(" ",INDEX(RHIZO_SoftwareFullNames,RHIZO_IndexSoftware))+1)) &amp;
RHIZO_YearMostRecent )</f>
        <v/>
      </c>
      <c r="D69" s="906"/>
      <c r="E69" s="300"/>
      <c r="F69" s="300"/>
      <c r="G69" s="271" t="str">
        <f>IF(RHIZO_OptionXL*(RHIZO_N_Software+RHIZO_N_UpgradeUpdate-2)&gt;=((ROW(G69)-ROW($G$69))/4+1),"XLRHIZO "&amp; RHIZO_YearMostRecent,"")</f>
        <v/>
      </c>
      <c r="H69" s="247"/>
      <c r="I69" s="247"/>
      <c r="J69" s="271" t="str">
        <f>IF(RHIZO_N_System-1&gt;=((ROW(G69)-ROW($G$69))/4+1),IF(RHIZO_IndexScanner=1,"STD4800","LA2400") &amp; " System"&amp; IF(AND(RHIZO_ClientWithOrWithoutScanner=2,RHIZO_N_System&gt;1)," Sans Scanner"," Avec Scanner"),
IF(AND(RHIZO_N_Software&gt;RHIZO_N_System,RHIZO_N_Software-1&gt;=((ROW(G69)-ROW($G$69))/4+1)),IF(N_SystemTotal=0,"Software Only",IF(N_STDScanners+N_LAScanners+N_LCScanners=0,"Software Sans Scanner","Software Avec Scanner")),
IF(RHIZO_N_UpgradeUpdate-1&gt;=((ROW(G69)-ROW($G$69))/4+1)-(MAX(RHIZO_N_System,RHIZO_N_Software)-1),"Update","")))</f>
        <v/>
      </c>
      <c r="K69" s="247"/>
      <c r="L69" s="246"/>
      <c r="M69" s="246"/>
      <c r="N69" s="246"/>
      <c r="O69" s="215"/>
      <c r="P69" s="215"/>
      <c r="Q69" s="215"/>
    </row>
    <row r="70" spans="1:17" ht="24" customHeight="1" x14ac:dyDescent="0.2">
      <c r="A70" s="429" t="s">
        <v>258</v>
      </c>
      <c r="B70" s="287" t="s">
        <v>258</v>
      </c>
      <c r="C70" s="378" t="str">
        <f>IF(AND(QUOTE_Split_SoftwareHardware,QUOTE_InternetDownload),"",
"☐☐ Win" &amp;
IF(INT((ROW(D70)-10)/30)+1=1,"DEN","")&amp;
IF(INT((ROW(D70)-10)/30)+1=2,"CEL","")&amp;
IF(INT((ROW(D70)-10)/30)+1=3,"RHI","")&amp;
IF(INT((ROW(D70)-10)/30)+1=4,"RT","")&amp;
IF(INT((ROW(D70)-10)/30)+1=5,"FOL","")&amp;
IF(INT((ROW(D70)-10)/30)+1=6,"SEE","")&amp;
IF(INT((ROW(D70)-10)/30)+1=7,"CAM","")&amp;
IF(INT((ROW(D70)-10)/30)+1=8,"SCA","") &amp; ".exe")</f>
        <v>☐☐ WinRHI.exe</v>
      </c>
      <c r="D70" s="378" t="str">
        <f>IF(AND(QUOTE_Split_SoftwareHardware,QUOTE_InternetDownload),"",
 IF(N("If it is Cam, Do not Show XL")+AND(ROW(D70)&gt;=189,ROW(D70)&lt;=218),"","☐ XL" &amp;
IF(INT((ROW(D70)-10)/30)+1=1,"STEM","")&amp;
IF(INT((ROW(D70)-10)/30)+1=2,"Cell","")&amp;
IF(INT((ROW(D70)-10)/30)+1=3,"Rhizo","")&amp;
IF(INT((ROW(D70)-10)/30)+1=4,"RhizoT","")&amp;
IF(INT((ROW(D70)-10)/30)+1=5,"Folia","")&amp;
IF(INT((ROW(D70)-10)/30)+1=6,"Seedle","")&amp;
IF(INT((ROW(D70)-10)/30)+1=7,"Cam","")&amp;
IF(INT((ROW(D70)-10)/30)+1=8,"Scanopy","") &amp; ".xls"))</f>
        <v>☐ XLRhizo.xls</v>
      </c>
      <c r="E70" s="378" t="s">
        <v>299</v>
      </c>
      <c r="F70" s="379" t="s">
        <v>152</v>
      </c>
      <c r="G70" s="378" t="str">
        <f xml:space="preserve"> IF(N("If it is Cam, Do not Show XL")+AND(ROW(G70)&gt;=189,ROW(G70)&lt;=218),"","☐ XL Man")</f>
        <v>☐ XL Man</v>
      </c>
      <c r="H70" s="379" t="s">
        <v>280</v>
      </c>
      <c r="I70" s="307" t="s">
        <v>274</v>
      </c>
      <c r="J70" s="379" t="str">
        <f>IF(N("Si OR dessous = vrai, pas de box")+OR(
N("1 OR Tron ou CELL")+OR(AND(ROW(E70)&gt;=39,ROW(E70)&lt;=68),AND(ROW(E70)&gt;=99,ROW(E70)&lt;=128)),
N("2 Pas de système scanopy and range opy")+AND(ROW(E70)&gt;=219,ROW(E70)&lt;=248,SCANOPY_N_System&lt;2),
N("3 Avec LC") + IF(AND(IF(PROD_MostPopularScanner="LC",1,0), NOT(AND(ROW(E70)&gt;=129,ROW(E70)&lt;=158)), NOT(AND(ROW(E70)&gt;=189,ROW(E70)&lt;=218))),1,0)
),"","☐ ")
&amp;
IF(N("If it's OPY, put OMount Manual instead")+
AND(ROW(D70)&gt;=219,ROW(D70)&lt;=248),
IF(SCANOPY_N_System&gt;1,
IF(SCANOPY_IndexScanner=1,"α" &amp; SCANOPY_CameraModel,SCANOPY_CameraModel_Mini) &amp; " Man",""),
IF(N("Empty si OR = true . . .If it is Cell or Tron, Do not Show Scanner related items + Hide if LC is favorite on unavailable product")+OR(
AND(ROW(E70)&gt;=39,ROW(E70)&lt;=68),
AND(ROW(E70)&gt;=99,ROW(E70)&lt;=128),
AND(IF(PROD_MostPopularScanner="LC",1,0), NOT(AND(ROW(E70)&gt;=129,ROW(E70)&lt;=158)), NOT(AND(ROW(E70)&gt;=189,ROW(E70)&lt;=218))),
0=1),
    "", IF(1=N("Si système a un scanner différent du Scanner populaire alors différent, sinon Scanner populaire")+AND(NOT(ISERROR(SEARCH("System",J69))),LEFT(J69,2)&lt;&gt;LEFT(PROD_MostPopularScanner,2)),
LEFT(J69,SEARCH("00",J69)-3),
PROD_MostPopularScanner) &amp; " Install Man"))</f>
        <v>☐ Scan. Install Man</v>
      </c>
      <c r="K70" s="378" t="str">
        <f>IF(N("If it is Cell or Tron or OPY, Do not Show Twain")+OR(AND(ROW(K70)&gt;=39,ROW(K70)&lt;=68),AND(ROW(K70)&gt;=99,ROW(K70)&lt;=128),AND(ROW(J70)&gt;=219,ROW(J70)&lt;=248)),"","☐ TWAIN")</f>
        <v>☐ TWAIN</v>
      </c>
      <c r="L70" s="379" t="str">
        <f>IF(AND(IF(PROD_MostPopularScanner="LC",1,0), NOT(AND(ROW(E70)&gt;=129,ROW(E70)&lt;=158)), NOT(AND(ROW(E70)&gt;=189,ROW(E70)&lt;=218))),"",
IF(N("Si OR dessous = vrai, pas de box")+OR(
N("1 OR Dendro+CELL, Tron+Folia,Cam")+OR(
AND(ROW(K70)&gt;=9,ROW(K70)&lt;=68),
AND(ROW(K70)&gt;=99,ROW(K70)&lt;=158),
AND(ROW(K70)&gt;=189,ROW(K70)&lt;=218)),
N("2 Pas de système scanopy and range opy")+AND(ROW(K70)&gt;=219,ROW(K70)&lt;=248,SCANOPY_N_System&lt;2),
N("3 Avec LC")&amp;IF(ISERROR(LEFT(J69,SEARCH("00",J69)-3)),"",LEFT(J69,SEARCH("00",J69)-3))="LC"),"","☐ ")
&amp;
IF(N("If it's OPY, put OMount Manual instead")+
AND(ROW(J70)&gt;=219,ROW(J70)&lt;=248),
IF(SCANOPY_N_System&gt;1,"OMount Man",""),
IF(N("If it is Dendro+CELL, Tron+Folia or Cam, Do not Show Scanner related items+No Video if LC")+OR(
AND(ROW(K70)&gt;=9,ROW(K70)&lt;=68),
AND(ROW(K70)&gt;=99,ROW(K70)&lt;=158),
AND(ROW(K70)&gt;=189,ROW(K70)&lt;=218),
IF(ISERROR(LEFT(J69,SEARCH("00",J69)-3)),"",LEFT(J69,SEARCH("00",J69)-3))="LC"),
    "", "Video " &amp; IF(1=N("Si système a un scanner différent du Scanner populaire alors différent, sinon Scanner populaire")+AND(NOT(ISERROR(SEARCH("System",J69))),LEFT(J69,2)&lt;&gt;LEFT(PROD_MostPopularScanner,2)),
LEFT(J69,SEARCH("00",J69)-3),
PROD_MostPopularScanner) &amp; " Install"))
)</f>
        <v>☐ Video Scan. Install</v>
      </c>
      <c r="M70" s="378" t="str">
        <f>IF(N("If it is Dendro or Tron, Do not Show Color Analysis Video")+
OR(AND(ROW(L70)&gt;=9,ROW(L70)&lt;=38),
AND(ROW(L70)&gt;=99,ROW(L70)&lt;=128)), "","☐ Video ClrAna")</f>
        <v>☐ Video ClrAna</v>
      </c>
      <c r="N70" s="379" t="str">
        <f>IF(OR(INT((ROW(D70)-10)/30)+1=2,INT((ROW(D70)-10)/30)+1=4),"","☐ ")&amp;
IF(INT((ROW(D70)-10)/30)+1=1,"Scanner.cal","")&amp;
IF(INT((ROW(D70)-10)/30)+1=2,"","")&amp;
IF(INT((ROW(D70)-10)/30)+1=3,"Scanner.cal","")&amp;
IF(INT((ROW(D70)-10)/30)+1=4,"","")&amp;
IF(INT((ROW(D70)-10)/30)+1=5,"Scanner.cal","")&amp;
IF(INT((ROW(D70)-10)/30)+1=6,"Scanner.cal","")&amp;
IF(INT((ROW(D70)-10)/30)+1=7,"Scanner.cal","")&amp;
IF(INT((ROW(D70)-10)/30)+1=8,"Indiv" &amp; " Lens.cal","")</f>
        <v>☐ Scanner.cal</v>
      </c>
      <c r="O70" s="307" t="str">
        <f>IF(AND(ROW(L70)&gt;=9,ROW(L70)&lt;=38),"☐ RegentTarget.blu","")</f>
        <v/>
      </c>
      <c r="P70" s="215"/>
      <c r="Q70" s="215"/>
    </row>
    <row r="71" spans="1:17" ht="24" customHeight="1" x14ac:dyDescent="0.2">
      <c r="A71" s="429" t="s">
        <v>259</v>
      </c>
      <c r="B71" s="224" t="s">
        <v>259</v>
      </c>
      <c r="C71" s="307" t="s">
        <v>152</v>
      </c>
      <c r="D71" s="307" t="str">
        <f xml:space="preserve"> IF(N("If it is Cam, Do not Show XL")+AND(ROW(D71)&gt;=189,ROW(D71)&lt;=218),"","☐ XL Man")</f>
        <v>☐ XL Man</v>
      </c>
      <c r="E71" s="437" t="str">
        <f>IF(N("Si OR dessous = vrai, pas de box")+OR(
N("1 OR Tron ou CELL")+OR(AND(ROW(K70)&gt;=39,ROW(K70)&lt;=68),AND(ROW(K70)&gt;=99,ROW(K70)&lt;=128)),
N("2 Pas de système scanopy and range opy")+AND(ROW(K70)&gt;=219,ROW(K70)&lt;=248,SCANOPY_N_System&lt;2),
N("3 Avec LC")&amp;IF(ISERROR(LEFT(J69,SEARCH("00",J69)-3)),"",LEFT(J69,SEARCH("00",J69)-3))="LC"),"","☐ ")
&amp;
IF(N("If it's OPY, put OMount Manual instead")+
AND(ROW(J70)&gt;=219,ROW(J70)&lt;=248),
IF(SCANOPY_N_System&gt;1,"OMount Man",""),
IF(N("If it is Cell or Tron, Do not Show Scanner related items")+OR(
AND(ROW(K70)&gt;=39,ROW(K70)&lt;=68),
AND(ROW(K70)&gt;=99,ROW(K70)&lt;=128)),
    "", IF(1=N("Si système a un scanner différent du Scanner populaire alors différent, sinon Scanner populaire")+AND(NOT(ISERROR(SEARCH("System",J69))),LEFT(J69,2)&lt;&gt;LEFT(PROD_MostPopularScanner,2)),
LEFT(J69,SEARCH("00",J69)-3),
PROD_MostPopularScanner) &amp; " Install Man"))</f>
        <v>☐ Scan. Install Man</v>
      </c>
      <c r="F71" s="380" t="s">
        <v>275</v>
      </c>
      <c r="G71" s="307" t="s">
        <v>274</v>
      </c>
      <c r="H71" s="439" t="s">
        <v>250</v>
      </c>
      <c r="I71" s="381"/>
      <c r="J71" s="307" t="str">
        <f ca="1">IF(AND(
INDIRECT(
IF(INT((ROW(D71)-10)/30)+1=1,"DENDRO","")&amp;
IF(INT((ROW(D71)-10)/30)+1=2,"CELL","")&amp;
IF(INT((ROW(D71)-10)/30)+1=3,"RHIZO","")&amp;
IF(INT((ROW(D71)-10)/30)+1=4,"RHIZOTRON","")&amp;
IF(INT((ROW(D71)-10)/30)+1=5,"FOLIA","")&amp;
IF(INT((ROW(D71)-10)/30)+1=6,"SEEDLE","")&amp;
IF(INT((ROW(D71)-10)/30)+1=7,"CAM","")&amp;
IF(INT((ROW(D71)-10)/30)+1=8,"SCANOPY","") &amp; "_ChkB_RemoteUpdate"),
INDIRECT(
IF(INT((ROW(D71)-10)/30)+1=1,"DENDRO","")&amp;
IF(INT((ROW(D71)-10)/30)+1=2,"CELL","")&amp;
IF(INT((ROW(D71)-10)/30)+1=3,"RHIZO","")&amp;
IF(INT((ROW(D71)-10)/30)+1=4,"RHIZOTRON","")&amp;
IF(INT((ROW(D71)-10)/30)+1=5,"FOLIA","")&amp;
IF(INT((ROW(D71)-10)/30)+1=6,"SEEDLE","")&amp;
IF(INT((ROW(D71)-10)/30)+1=7,"CAM","")&amp;
IF(INT((ROW(D71)-10)/30)+1=8,"SCANOPY","") &amp; "_ChkBox_UpgradeUpdate")),
"Clé de bois ou Download. Reprogrammation clé client",
"☐ " &amp; IF(AND(QUOTE_Split_SoftwareHardware,QUOTE_InternetDownload),"Man ds env. ""Documents"", Clé ds bulle collée sur env.","Reliée au Man"))</f>
        <v>☐ Reliée au Man</v>
      </c>
      <c r="K71" s="265"/>
      <c r="L71" s="223"/>
      <c r="M71" s="439"/>
      <c r="N71" s="380"/>
      <c r="O71" s="307"/>
      <c r="P71" s="215"/>
      <c r="Q71" s="215"/>
    </row>
    <row r="72" spans="1:17" ht="16.25" customHeight="1" x14ac:dyDescent="0.2">
      <c r="A72" s="417"/>
      <c r="B72" s="292"/>
      <c r="C72" s="906" t="str">
        <f>IF((RHIZO_N_UpgradeUpdate + RHIZO_N_Software ) = 2,"",LEFT(INDEX(RHIZO_SoftwareFullNames,RHIZO_IndexSoftware),FIND(" ",INDEX(RHIZO_SoftwareFullNames,RHIZO_IndexSoftware),FIND(" ",INDEX(RHIZO_SoftwareFullNames,RHIZO_IndexSoftware))+1)) &amp;
RHIZO_YearMostRecent )</f>
        <v/>
      </c>
      <c r="D72" s="906"/>
      <c r="E72" s="300"/>
      <c r="F72" s="300"/>
      <c r="G72" s="271" t="str">
        <f>IF(RHIZO_OptionXL*(RHIZO_N_Software+RHIZO_N_UpgradeUpdate-2)&gt;=((ROW(G72)-ROW($G$69))/4+1),"XLRHIZO "&amp; RHIZO_YearMostRecent,"")</f>
        <v/>
      </c>
      <c r="H72" s="247"/>
      <c r="I72" s="247"/>
      <c r="J72" s="271" t="str">
        <f>IF(RHIZO_N_System-1&gt;=((ROW(G72)-ROW($G$69))/4+1),IF(RHIZO_IndexScanner=1,"STD4800","LA2400") &amp; " System"&amp; IF(AND(RHIZO_ClientWithOrWithoutScanner=2,RHIZO_N_System&gt;1)," Sans Scanner"," Avec Scanner"),
IF(AND(RHIZO_N_Software&gt;RHIZO_N_System,RHIZO_N_Software-1&gt;=((ROW(G72)-ROW($G$69))/4+1)),IF(N_SystemTotal=0,"Software Only",IF(N_STDScanners+N_LAScanners+N_LCScanners=0,"Software Sans Scanner","Software Avec Scanner")),
IF(RHIZO_N_UpgradeUpdate-1&gt;=((ROW(G72)-ROW($G$69))/4+1)-(MAX(RHIZO_N_System,RHIZO_N_Software)-1),"Update","")))</f>
        <v/>
      </c>
      <c r="K72" s="247"/>
      <c r="L72" s="246"/>
      <c r="M72" s="246"/>
      <c r="N72" s="246"/>
      <c r="O72" s="215"/>
      <c r="P72" s="215"/>
      <c r="Q72" s="215"/>
    </row>
    <row r="73" spans="1:17" ht="24" customHeight="1" x14ac:dyDescent="0.2">
      <c r="A73" s="429" t="s">
        <v>258</v>
      </c>
      <c r="B73" s="287" t="s">
        <v>258</v>
      </c>
      <c r="C73" s="378" t="str">
        <f>IF(AND(QUOTE_Split_SoftwareHardware,QUOTE_InternetDownload),"",
"☐☐ Win" &amp;
IF(INT((ROW(D73)-10)/30)+1=1,"DEN","")&amp;
IF(INT((ROW(D73)-10)/30)+1=2,"CEL","")&amp;
IF(INT((ROW(D73)-10)/30)+1=3,"RHI","")&amp;
IF(INT((ROW(D73)-10)/30)+1=4,"RT","")&amp;
IF(INT((ROW(D73)-10)/30)+1=5,"FOL","")&amp;
IF(INT((ROW(D73)-10)/30)+1=6,"SEE","")&amp;
IF(INT((ROW(D73)-10)/30)+1=7,"CAM","")&amp;
IF(INT((ROW(D73)-10)/30)+1=8,"SCA","") &amp; ".exe")</f>
        <v>☐☐ WinRHI.exe</v>
      </c>
      <c r="D73" s="378" t="str">
        <f>IF(AND(QUOTE_Split_SoftwareHardware,QUOTE_InternetDownload),"",
 IF(N("If it is Cam, Do not Show XL")+AND(ROW(D73)&gt;=189,ROW(D73)&lt;=218),"","☐ XL" &amp;
IF(INT((ROW(D73)-10)/30)+1=1,"STEM","")&amp;
IF(INT((ROW(D73)-10)/30)+1=2,"Cell","")&amp;
IF(INT((ROW(D73)-10)/30)+1=3,"Rhizo","")&amp;
IF(INT((ROW(D73)-10)/30)+1=4,"RhizoT","")&amp;
IF(INT((ROW(D73)-10)/30)+1=5,"Folia","")&amp;
IF(INT((ROW(D73)-10)/30)+1=6,"Seedle","")&amp;
IF(INT((ROW(D73)-10)/30)+1=7,"Cam","")&amp;
IF(INT((ROW(D73)-10)/30)+1=8,"Scanopy","") &amp; ".xls"))</f>
        <v>☐ XLRhizo.xls</v>
      </c>
      <c r="E73" s="378" t="s">
        <v>299</v>
      </c>
      <c r="F73" s="379" t="s">
        <v>152</v>
      </c>
      <c r="G73" s="378" t="str">
        <f xml:space="preserve"> IF(N("If it is Cam, Do not Show XL")+AND(ROW(G73)&gt;=189,ROW(G73)&lt;=218),"","☐ XL Man")</f>
        <v>☐ XL Man</v>
      </c>
      <c r="H73" s="379" t="s">
        <v>280</v>
      </c>
      <c r="I73" s="307" t="s">
        <v>274</v>
      </c>
      <c r="J73" s="379" t="str">
        <f>IF(N("Si OR dessous = vrai, pas de box")+OR(
N("1 OR Tron ou CELL")+OR(AND(ROW(E73)&gt;=39,ROW(E73)&lt;=68),AND(ROW(E73)&gt;=99,ROW(E73)&lt;=128)),
N("2 Pas de système scanopy and range opy")+AND(ROW(E73)&gt;=219,ROW(E73)&lt;=248,SCANOPY_N_System&lt;2),
N("3 Avec LC") + IF(AND(IF(PROD_MostPopularScanner="LC",1,0), NOT(AND(ROW(E73)&gt;=129,ROW(E73)&lt;=158)), NOT(AND(ROW(E73)&gt;=189,ROW(E73)&lt;=218))),1,0)
),"","☐ ")
&amp;
IF(N("If it's OPY, put OMount Manual instead")+
AND(ROW(D73)&gt;=219,ROW(D73)&lt;=248),
IF(SCANOPY_N_System&gt;1,
IF(SCANOPY_IndexScanner=1,"α" &amp; SCANOPY_CameraModel,SCANOPY_CameraModel_Mini) &amp; " Man",""),
IF(N("Empty si OR = true . . .If it is Cell or Tron, Do not Show Scanner related items + Hide if LC is favorite on unavailable product")+OR(
AND(ROW(E73)&gt;=39,ROW(E73)&lt;=68),
AND(ROW(E73)&gt;=99,ROW(E73)&lt;=128),
AND(IF(PROD_MostPopularScanner="LC",1,0), NOT(AND(ROW(E73)&gt;=129,ROW(E73)&lt;=158)), NOT(AND(ROW(E73)&gt;=189,ROW(E73)&lt;=218))),
0=1),
    "", IF(1=N("Si système a un scanner différent du Scanner populaire alors différent, sinon Scanner populaire")+AND(NOT(ISERROR(SEARCH("System",J72))),LEFT(J72,2)&lt;&gt;LEFT(PROD_MostPopularScanner,2)),
LEFT(J72,SEARCH("00",J72)-3),
PROD_MostPopularScanner) &amp; " Install Man"))</f>
        <v>☐ Scan. Install Man</v>
      </c>
      <c r="K73" s="378" t="str">
        <f>IF(N("If it is Cell or Tron or OPY, Do not Show Twain")+OR(AND(ROW(K73)&gt;=39,ROW(K73)&lt;=68),AND(ROW(K73)&gt;=99,ROW(K73)&lt;=128),AND(ROW(J73)&gt;=219,ROW(J73)&lt;=248)),"","☐ TWAIN")</f>
        <v>☐ TWAIN</v>
      </c>
      <c r="L73" s="379" t="str">
        <f>IF(AND(IF(PROD_MostPopularScanner="LC",1,0), NOT(AND(ROW(E73)&gt;=129,ROW(E73)&lt;=158)), NOT(AND(ROW(E73)&gt;=189,ROW(E73)&lt;=218))),"",
IF(N("Si OR dessous = vrai, pas de box")+OR(
N("1 OR Dendro+CELL, Tron+Folia,Cam")+OR(
AND(ROW(K73)&gt;=9,ROW(K73)&lt;=68),
AND(ROW(K73)&gt;=99,ROW(K73)&lt;=158),
AND(ROW(K73)&gt;=189,ROW(K73)&lt;=218)),
N("2 Pas de système scanopy and range opy")+AND(ROW(K73)&gt;=219,ROW(K73)&lt;=248,SCANOPY_N_System&lt;2),
N("3 Avec LC")&amp;IF(ISERROR(LEFT(J72,SEARCH("00",J72)-3)),"",LEFT(J72,SEARCH("00",J72)-3))="LC"),"","☐ ")
&amp;
IF(N("If it's OPY, put OMount Manual instead")+
AND(ROW(J73)&gt;=219,ROW(J73)&lt;=248),
IF(SCANOPY_N_System&gt;1,"OMount Man",""),
IF(N("If it is Dendro+CELL, Tron+Folia or Cam, Do not Show Scanner related items+No Video if LC")+OR(
AND(ROW(K73)&gt;=9,ROW(K73)&lt;=68),
AND(ROW(K73)&gt;=99,ROW(K73)&lt;=158),
AND(ROW(K73)&gt;=189,ROW(K73)&lt;=218),
IF(ISERROR(LEFT(J72,SEARCH("00",J72)-3)),"",LEFT(J72,SEARCH("00",J72)-3))="LC"),
    "", "Video " &amp; IF(1=N("Si système a un scanner différent du Scanner populaire alors différent, sinon Scanner populaire")+AND(NOT(ISERROR(SEARCH("System",J72))),LEFT(J72,2)&lt;&gt;LEFT(PROD_MostPopularScanner,2)),
LEFT(J72,SEARCH("00",J72)-3),
PROD_MostPopularScanner) &amp; " Install"))
)</f>
        <v>☐ Video Scan. Install</v>
      </c>
      <c r="M73" s="378" t="str">
        <f>IF(N("If it is Dendro or Tron, Do not Show Color Analysis Video")+
OR(AND(ROW(L73)&gt;=9,ROW(L73)&lt;=38),
AND(ROW(L73)&gt;=99,ROW(L73)&lt;=128)), "","☐ Video ClrAna")</f>
        <v>☐ Video ClrAna</v>
      </c>
      <c r="N73" s="379" t="str">
        <f>IF(OR(INT((ROW(D73)-10)/30)+1=2,INT((ROW(D73)-10)/30)+1=4),"","☐ ")&amp;
IF(INT((ROW(D73)-10)/30)+1=1,"Scanner.cal","")&amp;
IF(INT((ROW(D73)-10)/30)+1=2,"","")&amp;
IF(INT((ROW(D73)-10)/30)+1=3,"Scanner.cal","")&amp;
IF(INT((ROW(D73)-10)/30)+1=4,"","")&amp;
IF(INT((ROW(D73)-10)/30)+1=5,"Scanner.cal","")&amp;
IF(INT((ROW(D73)-10)/30)+1=6,"Scanner.cal","")&amp;
IF(INT((ROW(D73)-10)/30)+1=7,"Scanner.cal","")&amp;
IF(INT((ROW(D73)-10)/30)+1=8,"Indiv" &amp; " Lens.cal","")</f>
        <v>☐ Scanner.cal</v>
      </c>
      <c r="O73" s="307" t="str">
        <f>IF(AND(ROW(L73)&gt;=9,ROW(L73)&lt;=38),"☐ RegentTarget.blu","")</f>
        <v/>
      </c>
      <c r="P73" s="215"/>
      <c r="Q73" s="215"/>
    </row>
    <row r="74" spans="1:17" ht="24" customHeight="1" x14ac:dyDescent="0.2">
      <c r="A74" s="429" t="s">
        <v>259</v>
      </c>
      <c r="B74" s="224" t="s">
        <v>259</v>
      </c>
      <c r="C74" s="307" t="s">
        <v>152</v>
      </c>
      <c r="D74" s="307" t="str">
        <f xml:space="preserve"> IF(N("If it is Cam, Do not Show XL")+AND(ROW(D74)&gt;=189,ROW(D74)&lt;=218),"","☐ XL Man")</f>
        <v>☐ XL Man</v>
      </c>
      <c r="E74" s="437" t="str">
        <f>IF(N("Si OR dessous = vrai, pas de box")+OR(
N("1 OR Tron ou CELL")+OR(AND(ROW(K73)&gt;=39,ROW(K73)&lt;=68),AND(ROW(K73)&gt;=99,ROW(K73)&lt;=128)),
N("2 Pas de système scanopy and range opy")+AND(ROW(K73)&gt;=219,ROW(K73)&lt;=248,SCANOPY_N_System&lt;2),
N("3 Avec LC")&amp;IF(ISERROR(LEFT(J72,SEARCH("00",J72)-3)),"",LEFT(J72,SEARCH("00",J72)-3))="LC"),"","☐ ")
&amp;
IF(N("If it's OPY, put OMount Manual instead")+
AND(ROW(J73)&gt;=219,ROW(J73)&lt;=248),
IF(SCANOPY_N_System&gt;1,"OMount Man",""),
IF(N("If it is Cell or Tron, Do not Show Scanner related items")+OR(
AND(ROW(K73)&gt;=39,ROW(K73)&lt;=68),
AND(ROW(K73)&gt;=99,ROW(K73)&lt;=128)),
    "", IF(1=N("Si système a un scanner différent du Scanner populaire alors différent, sinon Scanner populaire")+AND(NOT(ISERROR(SEARCH("System",J72))),LEFT(J72,2)&lt;&gt;LEFT(PROD_MostPopularScanner,2)),
LEFT(J72,SEARCH("00",J72)-3),
PROD_MostPopularScanner) &amp; " Install Man"))</f>
        <v>☐ Scan. Install Man</v>
      </c>
      <c r="F74" s="380" t="s">
        <v>275</v>
      </c>
      <c r="G74" s="307" t="s">
        <v>274</v>
      </c>
      <c r="H74" s="439" t="s">
        <v>250</v>
      </c>
      <c r="I74" s="381"/>
      <c r="J74" s="307" t="str">
        <f ca="1">IF(AND(
INDIRECT(
IF(INT((ROW(D74)-10)/30)+1=1,"DENDRO","")&amp;
IF(INT((ROW(D74)-10)/30)+1=2,"CELL","")&amp;
IF(INT((ROW(D74)-10)/30)+1=3,"RHIZO","")&amp;
IF(INT((ROW(D74)-10)/30)+1=4,"RHIZOTRON","")&amp;
IF(INT((ROW(D74)-10)/30)+1=5,"FOLIA","")&amp;
IF(INT((ROW(D74)-10)/30)+1=6,"SEEDLE","")&amp;
IF(INT((ROW(D74)-10)/30)+1=7,"CAM","")&amp;
IF(INT((ROW(D74)-10)/30)+1=8,"SCANOPY","") &amp; "_ChkB_RemoteUpdate"),
INDIRECT(
IF(INT((ROW(D74)-10)/30)+1=1,"DENDRO","")&amp;
IF(INT((ROW(D74)-10)/30)+1=2,"CELL","")&amp;
IF(INT((ROW(D74)-10)/30)+1=3,"RHIZO","")&amp;
IF(INT((ROW(D74)-10)/30)+1=4,"RHIZOTRON","")&amp;
IF(INT((ROW(D74)-10)/30)+1=5,"FOLIA","")&amp;
IF(INT((ROW(D74)-10)/30)+1=6,"SEEDLE","")&amp;
IF(INT((ROW(D74)-10)/30)+1=7,"CAM","")&amp;
IF(INT((ROW(D74)-10)/30)+1=8,"SCANOPY","") &amp; "_ChkBox_UpgradeUpdate")),
"Clé de bois ou Download. Reprogrammation clé client",
"☐ " &amp; IF(AND(QUOTE_Split_SoftwareHardware,QUOTE_InternetDownload),"Man ds env. ""Documents"", Clé ds bulle collée sur env.","Reliée au Man"))</f>
        <v>☐ Reliée au Man</v>
      </c>
      <c r="K74" s="265"/>
      <c r="L74" s="223"/>
      <c r="M74" s="439"/>
      <c r="N74" s="380"/>
      <c r="O74" s="307"/>
      <c r="P74" s="215"/>
      <c r="Q74" s="215"/>
    </row>
    <row r="75" spans="1:17" ht="16.25" customHeight="1" x14ac:dyDescent="0.2">
      <c r="A75" s="417"/>
      <c r="B75" s="292"/>
      <c r="C75" s="906" t="str">
        <f>IF((RHIZO_N_UpgradeUpdate + RHIZO_N_Software ) = 2,"",LEFT(INDEX(RHIZO_SoftwareFullNames,RHIZO_IndexSoftware),FIND(" ",INDEX(RHIZO_SoftwareFullNames,RHIZO_IndexSoftware),FIND(" ",INDEX(RHIZO_SoftwareFullNames,RHIZO_IndexSoftware))+1)) &amp;
RHIZO_YearMostRecent )</f>
        <v/>
      </c>
      <c r="D75" s="906"/>
      <c r="E75" s="300"/>
      <c r="F75" s="300"/>
      <c r="G75" s="271" t="str">
        <f>IF(RHIZO_OptionXL*(RHIZO_N_Software+RHIZO_N_UpgradeUpdate-2)&gt;=((ROW(G75)-ROW($G$69))/4+1),"XLRHIZO "&amp; RHIZO_YearMostRecent,"")</f>
        <v/>
      </c>
      <c r="H75" s="247"/>
      <c r="I75" s="247"/>
      <c r="J75" s="271" t="str">
        <f>IF(RHIZO_N_System-1&gt;=((ROW(G75)-ROW($G$69))/4+1),IF(RHIZO_IndexScanner=1,"STD4800","LA2400") &amp; " System"&amp; IF(AND(RHIZO_ClientWithOrWithoutScanner=2,RHIZO_N_System&gt;1)," Sans Scanner"," Avec Scanner"),
IF(AND(RHIZO_N_Software&gt;RHIZO_N_System,RHIZO_N_Software-1&gt;=((ROW(G75)-ROW($G$69))/4+1)),IF(N_SystemTotal=0,"Software Only",IF(N_STDScanners+N_LAScanners+N_LCScanners=0,"Software Sans Scanner","Software Avec Scanner")),
IF(RHIZO_N_UpgradeUpdate-1&gt;=((ROW(G75)-ROW($G$69))/4+1)-(MAX(RHIZO_N_System,RHIZO_N_Software)-1),"Update","")))</f>
        <v/>
      </c>
      <c r="K75" s="247"/>
      <c r="L75" s="246"/>
      <c r="M75" s="246"/>
      <c r="N75" s="246"/>
      <c r="O75" s="215"/>
      <c r="P75" s="215"/>
      <c r="Q75" s="215"/>
    </row>
    <row r="76" spans="1:17" ht="24" customHeight="1" x14ac:dyDescent="0.2">
      <c r="A76" s="429" t="s">
        <v>258</v>
      </c>
      <c r="B76" s="287" t="s">
        <v>258</v>
      </c>
      <c r="C76" s="378" t="str">
        <f>IF(AND(QUOTE_Split_SoftwareHardware,QUOTE_InternetDownload),"",
"☐☐ Win" &amp;
IF(INT((ROW(D76)-10)/30)+1=1,"DEN","")&amp;
IF(INT((ROW(D76)-10)/30)+1=2,"CEL","")&amp;
IF(INT((ROW(D76)-10)/30)+1=3,"RHI","")&amp;
IF(INT((ROW(D76)-10)/30)+1=4,"RT","")&amp;
IF(INT((ROW(D76)-10)/30)+1=5,"FOL","")&amp;
IF(INT((ROW(D76)-10)/30)+1=6,"SEE","")&amp;
IF(INT((ROW(D76)-10)/30)+1=7,"CAM","")&amp;
IF(INT((ROW(D76)-10)/30)+1=8,"SCA","") &amp; ".exe")</f>
        <v>☐☐ WinRHI.exe</v>
      </c>
      <c r="D76" s="378" t="str">
        <f>IF(AND(QUOTE_Split_SoftwareHardware,QUOTE_InternetDownload),"",
 IF(N("If it is Cam, Do not Show XL")+AND(ROW(D76)&gt;=189,ROW(D76)&lt;=218),"","☐ XL" &amp;
IF(INT((ROW(D76)-10)/30)+1=1,"STEM","")&amp;
IF(INT((ROW(D76)-10)/30)+1=2,"Cell","")&amp;
IF(INT((ROW(D76)-10)/30)+1=3,"Rhizo","")&amp;
IF(INT((ROW(D76)-10)/30)+1=4,"RhizoT","")&amp;
IF(INT((ROW(D76)-10)/30)+1=5,"Folia","")&amp;
IF(INT((ROW(D76)-10)/30)+1=6,"Seedle","")&amp;
IF(INT((ROW(D76)-10)/30)+1=7,"Cam","")&amp;
IF(INT((ROW(D76)-10)/30)+1=8,"Scanopy","") &amp; ".xls"))</f>
        <v>☐ XLRhizo.xls</v>
      </c>
      <c r="E76" s="378" t="s">
        <v>299</v>
      </c>
      <c r="F76" s="379" t="s">
        <v>152</v>
      </c>
      <c r="G76" s="378" t="str">
        <f xml:space="preserve"> IF(N("If it is Cam, Do not Show XL")+AND(ROW(G76)&gt;=189,ROW(G76)&lt;=218),"","☐ XL Man")</f>
        <v>☐ XL Man</v>
      </c>
      <c r="H76" s="379" t="s">
        <v>280</v>
      </c>
      <c r="I76" s="307" t="s">
        <v>274</v>
      </c>
      <c r="J76" s="379" t="str">
        <f>IF(N("Si OR dessous = vrai, pas de box")+OR(
N("1 OR Tron ou CELL")+OR(AND(ROW(E76)&gt;=39,ROW(E76)&lt;=68),AND(ROW(E76)&gt;=99,ROW(E76)&lt;=128)),
N("2 Pas de système scanopy and range opy")+AND(ROW(E76)&gt;=219,ROW(E76)&lt;=248,SCANOPY_N_System&lt;2),
N("3 Avec LC") + IF(AND(IF(PROD_MostPopularScanner="LC",1,0), NOT(AND(ROW(E76)&gt;=129,ROW(E76)&lt;=158)), NOT(AND(ROW(E76)&gt;=189,ROW(E76)&lt;=218))),1,0)
),"","☐ ")
&amp;
IF(N("If it's OPY, put OMount Manual instead")+
AND(ROW(D76)&gt;=219,ROW(D76)&lt;=248),
IF(SCANOPY_N_System&gt;1,
IF(SCANOPY_IndexScanner=1,"α" &amp; SCANOPY_CameraModel,SCANOPY_CameraModel_Mini) &amp; " Man",""),
IF(N("Empty si OR = true . . .If it is Cell or Tron, Do not Show Scanner related items + Hide if LC is favorite on unavailable product")+OR(
AND(ROW(E76)&gt;=39,ROW(E76)&lt;=68),
AND(ROW(E76)&gt;=99,ROW(E76)&lt;=128),
AND(IF(PROD_MostPopularScanner="LC",1,0), NOT(AND(ROW(E76)&gt;=129,ROW(E76)&lt;=158)), NOT(AND(ROW(E76)&gt;=189,ROW(E76)&lt;=218))),
0=1),
    "", IF(1=N("Si système a un scanner différent du Scanner populaire alors différent, sinon Scanner populaire")+AND(NOT(ISERROR(SEARCH("System",J75))),LEFT(J75,2)&lt;&gt;LEFT(PROD_MostPopularScanner,2)),
LEFT(J75,SEARCH("00",J75)-3),
PROD_MostPopularScanner) &amp; " Install Man"))</f>
        <v>☐ Scan. Install Man</v>
      </c>
      <c r="K76" s="378" t="str">
        <f>IF(N("If it is Cell or Tron or OPY, Do not Show Twain")+OR(AND(ROW(K76)&gt;=39,ROW(K76)&lt;=68),AND(ROW(K76)&gt;=99,ROW(K76)&lt;=128),AND(ROW(J76)&gt;=219,ROW(J76)&lt;=248)),"","☐ TWAIN")</f>
        <v>☐ TWAIN</v>
      </c>
      <c r="L76" s="379" t="str">
        <f>IF(AND(IF(PROD_MostPopularScanner="LC",1,0), NOT(AND(ROW(E76)&gt;=129,ROW(E76)&lt;=158)), NOT(AND(ROW(E76)&gt;=189,ROW(E76)&lt;=218))),"",
IF(N("Si OR dessous = vrai, pas de box")+OR(
N("1 OR Dendro+CELL, Tron+Folia,Cam")+OR(
AND(ROW(K76)&gt;=9,ROW(K76)&lt;=68),
AND(ROW(K76)&gt;=99,ROW(K76)&lt;=158),
AND(ROW(K76)&gt;=189,ROW(K76)&lt;=218)),
N("2 Pas de système scanopy and range opy")+AND(ROW(K76)&gt;=219,ROW(K76)&lt;=248,SCANOPY_N_System&lt;2),
N("3 Avec LC")&amp;IF(ISERROR(LEFT(J75,SEARCH("00",J75)-3)),"",LEFT(J75,SEARCH("00",J75)-3))="LC"),"","☐ ")
&amp;
IF(N("If it's OPY, put OMount Manual instead")+
AND(ROW(J76)&gt;=219,ROW(J76)&lt;=248),
IF(SCANOPY_N_System&gt;1,"OMount Man",""),
IF(N("If it is Dendro+CELL, Tron+Folia or Cam, Do not Show Scanner related items+No Video if LC")+OR(
AND(ROW(K76)&gt;=9,ROW(K76)&lt;=68),
AND(ROW(K76)&gt;=99,ROW(K76)&lt;=158),
AND(ROW(K76)&gt;=189,ROW(K76)&lt;=218),
IF(ISERROR(LEFT(J75,SEARCH("00",J75)-3)),"",LEFT(J75,SEARCH("00",J75)-3))="LC"),
    "", "Video " &amp; IF(1=N("Si système a un scanner différent du Scanner populaire alors différent, sinon Scanner populaire")+AND(NOT(ISERROR(SEARCH("System",J75))),LEFT(J75,2)&lt;&gt;LEFT(PROD_MostPopularScanner,2)),
LEFT(J75,SEARCH("00",J75)-3),
PROD_MostPopularScanner) &amp; " Install"))
)</f>
        <v>☐ Video Scan. Install</v>
      </c>
      <c r="M76" s="378" t="str">
        <f>IF(N("If it is Dendro or Tron, Do not Show Color Analysis Video")+
OR(AND(ROW(L76)&gt;=9,ROW(L76)&lt;=38),
AND(ROW(L76)&gt;=99,ROW(L76)&lt;=128)), "","☐ Video ClrAna")</f>
        <v>☐ Video ClrAna</v>
      </c>
      <c r="N76" s="379" t="str">
        <f>IF(OR(INT((ROW(D76)-10)/30)+1=2,INT((ROW(D76)-10)/30)+1=4),"","☐ ")&amp;
IF(INT((ROW(D76)-10)/30)+1=1,"Scanner.cal","")&amp;
IF(INT((ROW(D76)-10)/30)+1=2,"","")&amp;
IF(INT((ROW(D76)-10)/30)+1=3,"Scanner.cal","")&amp;
IF(INT((ROW(D76)-10)/30)+1=4,"","")&amp;
IF(INT((ROW(D76)-10)/30)+1=5,"Scanner.cal","")&amp;
IF(INT((ROW(D76)-10)/30)+1=6,"Scanner.cal","")&amp;
IF(INT((ROW(D76)-10)/30)+1=7,"Scanner.cal","")&amp;
IF(INT((ROW(D76)-10)/30)+1=8,"Indiv" &amp; " Lens.cal","")</f>
        <v>☐ Scanner.cal</v>
      </c>
      <c r="O76" s="307" t="str">
        <f>IF(AND(ROW(L76)&gt;=9,ROW(L76)&lt;=38),"☐ RegentTarget.blu","")</f>
        <v/>
      </c>
      <c r="P76" s="215"/>
      <c r="Q76" s="215"/>
    </row>
    <row r="77" spans="1:17" ht="24" customHeight="1" x14ac:dyDescent="0.2">
      <c r="A77" s="429" t="s">
        <v>259</v>
      </c>
      <c r="B77" s="224" t="s">
        <v>259</v>
      </c>
      <c r="C77" s="307" t="s">
        <v>152</v>
      </c>
      <c r="D77" s="307" t="str">
        <f xml:space="preserve"> IF(N("If it is Cam, Do not Show XL")+AND(ROW(D77)&gt;=189,ROW(D77)&lt;=218),"","☐ XL Man")</f>
        <v>☐ XL Man</v>
      </c>
      <c r="E77" s="437" t="str">
        <f>IF(N("Si OR dessous = vrai, pas de box")+OR(
N("1 OR Tron ou CELL")+OR(AND(ROW(K76)&gt;=39,ROW(K76)&lt;=68),AND(ROW(K76)&gt;=99,ROW(K76)&lt;=128)),
N("2 Pas de système scanopy and range opy")+AND(ROW(K76)&gt;=219,ROW(K76)&lt;=248,SCANOPY_N_System&lt;2),
N("3 Avec LC")&amp;IF(ISERROR(LEFT(J75,SEARCH("00",J75)-3)),"",LEFT(J75,SEARCH("00",J75)-3))="LC"),"","☐ ")
&amp;
IF(N("If it's OPY, put OMount Manual instead")+
AND(ROW(J76)&gt;=219,ROW(J76)&lt;=248),
IF(SCANOPY_N_System&gt;1,"OMount Man",""),
IF(N("If it is Cell or Tron, Do not Show Scanner related items")+OR(
AND(ROW(K76)&gt;=39,ROW(K76)&lt;=68),
AND(ROW(K76)&gt;=99,ROW(K76)&lt;=128)),
    "", IF(1=N("Si système a un scanner différent du Scanner populaire alors différent, sinon Scanner populaire")+AND(NOT(ISERROR(SEARCH("System",J75))),LEFT(J75,2)&lt;&gt;LEFT(PROD_MostPopularScanner,2)),
LEFT(J75,SEARCH("00",J75)-3),
PROD_MostPopularScanner) &amp; " Install Man"))</f>
        <v>☐ Scan. Install Man</v>
      </c>
      <c r="F77" s="380" t="s">
        <v>275</v>
      </c>
      <c r="G77" s="307" t="s">
        <v>274</v>
      </c>
      <c r="H77" s="439" t="s">
        <v>250</v>
      </c>
      <c r="I77" s="381"/>
      <c r="J77" s="307" t="str">
        <f ca="1">IF(AND(
INDIRECT(
IF(INT((ROW(D77)-10)/30)+1=1,"DENDRO","")&amp;
IF(INT((ROW(D77)-10)/30)+1=2,"CELL","")&amp;
IF(INT((ROW(D77)-10)/30)+1=3,"RHIZO","")&amp;
IF(INT((ROW(D77)-10)/30)+1=4,"RHIZOTRON","")&amp;
IF(INT((ROW(D77)-10)/30)+1=5,"FOLIA","")&amp;
IF(INT((ROW(D77)-10)/30)+1=6,"SEEDLE","")&amp;
IF(INT((ROW(D77)-10)/30)+1=7,"CAM","")&amp;
IF(INT((ROW(D77)-10)/30)+1=8,"SCANOPY","") &amp; "_ChkB_RemoteUpdate"),
INDIRECT(
IF(INT((ROW(D77)-10)/30)+1=1,"DENDRO","")&amp;
IF(INT((ROW(D77)-10)/30)+1=2,"CELL","")&amp;
IF(INT((ROW(D77)-10)/30)+1=3,"RHIZO","")&amp;
IF(INT((ROW(D77)-10)/30)+1=4,"RHIZOTRON","")&amp;
IF(INT((ROW(D77)-10)/30)+1=5,"FOLIA","")&amp;
IF(INT((ROW(D77)-10)/30)+1=6,"SEEDLE","")&amp;
IF(INT((ROW(D77)-10)/30)+1=7,"CAM","")&amp;
IF(INT((ROW(D77)-10)/30)+1=8,"SCANOPY","") &amp; "_ChkBox_UpgradeUpdate")),
"Clé de bois ou Download. Reprogrammation clé client",
"☐ " &amp; IF(AND(QUOTE_Split_SoftwareHardware,QUOTE_InternetDownload),"Man ds env. ""Documents"", Clé ds bulle collée sur env.","Reliée au Man"))</f>
        <v>☐ Reliée au Man</v>
      </c>
      <c r="K77" s="265"/>
      <c r="L77" s="223"/>
      <c r="M77" s="439"/>
      <c r="N77" s="380"/>
      <c r="O77" s="307"/>
      <c r="P77" s="215"/>
      <c r="Q77" s="215"/>
    </row>
    <row r="78" spans="1:17" ht="16.25" customHeight="1" x14ac:dyDescent="0.2">
      <c r="A78" s="417"/>
      <c r="B78" s="292"/>
      <c r="C78" s="906" t="str">
        <f>IF((RHIZO_N_UpgradeUpdate + RHIZO_N_Software ) = 2,"",LEFT(INDEX(RHIZO_SoftwareFullNames,RHIZO_IndexSoftware),FIND(" ",INDEX(RHIZO_SoftwareFullNames,RHIZO_IndexSoftware),FIND(" ",INDEX(RHIZO_SoftwareFullNames,RHIZO_IndexSoftware))+1)) &amp;
RHIZO_YearMostRecent )</f>
        <v/>
      </c>
      <c r="D78" s="906"/>
      <c r="E78" s="300"/>
      <c r="F78" s="300"/>
      <c r="G78" s="271" t="str">
        <f>IF(RHIZO_OptionXL*(RHIZO_N_Software+RHIZO_N_UpgradeUpdate-2)&gt;=((ROW(G78)-ROW($G$69))/4+1),"XLRHIZO "&amp; RHIZO_YearMostRecent,"")</f>
        <v/>
      </c>
      <c r="H78" s="247"/>
      <c r="I78" s="247"/>
      <c r="J78" s="271" t="str">
        <f>IF(RHIZO_N_System-1&gt;=((ROW(G78)-ROW($G$69))/4+1),IF(RHIZO_IndexScanner=1,"STD4800","LA2400") &amp; " System"&amp; IF(AND(RHIZO_ClientWithOrWithoutScanner=2,RHIZO_N_System&gt;1)," Sans Scanner"," Avec Scanner"),
IF(AND(RHIZO_N_Software&gt;RHIZO_N_System,RHIZO_N_Software-1&gt;=((ROW(G78)-ROW($G$69))/4+1)),IF(N_SystemTotal=0,"Software Only",IF(N_STDScanners+N_LAScanners+N_LCScanners=0,"Software Sans Scanner","Software Avec Scanner")),
IF(RHIZO_N_UpgradeUpdate-1&gt;=((ROW(G78)-ROW($G$69))/4+1)-(MAX(RHIZO_N_System,RHIZO_N_Software)-1),"Update","")))</f>
        <v/>
      </c>
      <c r="K78" s="247"/>
      <c r="L78" s="246"/>
      <c r="M78" s="246"/>
      <c r="N78" s="246"/>
      <c r="O78" s="215"/>
      <c r="P78" s="215"/>
      <c r="Q78" s="215"/>
    </row>
    <row r="79" spans="1:17" ht="24" customHeight="1" x14ac:dyDescent="0.2">
      <c r="A79" s="429" t="s">
        <v>258</v>
      </c>
      <c r="B79" s="287" t="s">
        <v>258</v>
      </c>
      <c r="C79" s="378" t="str">
        <f>IF(AND(QUOTE_Split_SoftwareHardware,QUOTE_InternetDownload),"",
"☐☐ Win" &amp;
IF(INT((ROW(D79)-10)/30)+1=1,"DEN","")&amp;
IF(INT((ROW(D79)-10)/30)+1=2,"CEL","")&amp;
IF(INT((ROW(D79)-10)/30)+1=3,"RHI","")&amp;
IF(INT((ROW(D79)-10)/30)+1=4,"RT","")&amp;
IF(INT((ROW(D79)-10)/30)+1=5,"FOL","")&amp;
IF(INT((ROW(D79)-10)/30)+1=6,"SEE","")&amp;
IF(INT((ROW(D79)-10)/30)+1=7,"CAM","")&amp;
IF(INT((ROW(D79)-10)/30)+1=8,"SCA","") &amp; ".exe")</f>
        <v>☐☐ WinRHI.exe</v>
      </c>
      <c r="D79" s="378" t="str">
        <f>IF(AND(QUOTE_Split_SoftwareHardware,QUOTE_InternetDownload),"",
 IF(N("If it is Cam, Do not Show XL")+AND(ROW(D79)&gt;=189,ROW(D79)&lt;=218),"","☐ XL" &amp;
IF(INT((ROW(D79)-10)/30)+1=1,"STEM","")&amp;
IF(INT((ROW(D79)-10)/30)+1=2,"Cell","")&amp;
IF(INT((ROW(D79)-10)/30)+1=3,"Rhizo","")&amp;
IF(INT((ROW(D79)-10)/30)+1=4,"RhizoT","")&amp;
IF(INT((ROW(D79)-10)/30)+1=5,"Folia","")&amp;
IF(INT((ROW(D79)-10)/30)+1=6,"Seedle","")&amp;
IF(INT((ROW(D79)-10)/30)+1=7,"Cam","")&amp;
IF(INT((ROW(D79)-10)/30)+1=8,"Scanopy","") &amp; ".xls"))</f>
        <v>☐ XLRhizo.xls</v>
      </c>
      <c r="E79" s="378" t="s">
        <v>299</v>
      </c>
      <c r="F79" s="379" t="s">
        <v>152</v>
      </c>
      <c r="G79" s="378" t="str">
        <f xml:space="preserve"> IF(N("If it is Cam, Do not Show XL")+AND(ROW(G79)&gt;=189,ROW(G79)&lt;=218),"","☐ XL Man")</f>
        <v>☐ XL Man</v>
      </c>
      <c r="H79" s="379" t="s">
        <v>280</v>
      </c>
      <c r="I79" s="307" t="s">
        <v>274</v>
      </c>
      <c r="J79" s="379" t="str">
        <f>IF(N("Si OR dessous = vrai, pas de box")+OR(
N("1 OR Tron ou CELL")+OR(AND(ROW(E79)&gt;=39,ROW(E79)&lt;=68),AND(ROW(E79)&gt;=99,ROW(E79)&lt;=128)),
N("2 Pas de système scanopy and range opy")+AND(ROW(E79)&gt;=219,ROW(E79)&lt;=248,SCANOPY_N_System&lt;2),
N("3 Avec LC") + IF(AND(IF(PROD_MostPopularScanner="LC",1,0), NOT(AND(ROW(E79)&gt;=129,ROW(E79)&lt;=158)), NOT(AND(ROW(E79)&gt;=189,ROW(E79)&lt;=218))),1,0)
),"","☐ ")
&amp;
IF(N("If it's OPY, put OMount Manual instead")+
AND(ROW(D79)&gt;=219,ROW(D79)&lt;=248),
IF(SCANOPY_N_System&gt;1,
IF(SCANOPY_IndexScanner=1,"α" &amp; SCANOPY_CameraModel,SCANOPY_CameraModel_Mini) &amp; " Man",""),
IF(N("Empty si OR = true . . .If it is Cell or Tron, Do not Show Scanner related items + Hide if LC is favorite on unavailable product")+OR(
AND(ROW(E79)&gt;=39,ROW(E79)&lt;=68),
AND(ROW(E79)&gt;=99,ROW(E79)&lt;=128),
AND(IF(PROD_MostPopularScanner="LC",1,0), NOT(AND(ROW(E79)&gt;=129,ROW(E79)&lt;=158)), NOT(AND(ROW(E79)&gt;=189,ROW(E79)&lt;=218))),
0=1),
    "", IF(1=N("Si système a un scanner différent du Scanner populaire alors différent, sinon Scanner populaire")+AND(NOT(ISERROR(SEARCH("System",J78))),LEFT(J78,2)&lt;&gt;LEFT(PROD_MostPopularScanner,2)),
LEFT(J78,SEARCH("00",J78)-3),
PROD_MostPopularScanner) &amp; " Install Man"))</f>
        <v>☐ Scan. Install Man</v>
      </c>
      <c r="K79" s="378" t="str">
        <f>IF(N("If it is Cell or Tron or OPY, Do not Show Twain")+OR(AND(ROW(K79)&gt;=39,ROW(K79)&lt;=68),AND(ROW(K79)&gt;=99,ROW(K79)&lt;=128),AND(ROW(J79)&gt;=219,ROW(J79)&lt;=248)),"","☐ TWAIN")</f>
        <v>☐ TWAIN</v>
      </c>
      <c r="L79" s="379" t="str">
        <f>IF(AND(IF(PROD_MostPopularScanner="LC",1,0), NOT(AND(ROW(E79)&gt;=129,ROW(E79)&lt;=158)), NOT(AND(ROW(E79)&gt;=189,ROW(E79)&lt;=218))),"",
IF(N("Si OR dessous = vrai, pas de box")+OR(
N("1 OR Dendro+CELL, Tron+Folia,Cam")+OR(
AND(ROW(K79)&gt;=9,ROW(K79)&lt;=68),
AND(ROW(K79)&gt;=99,ROW(K79)&lt;=158),
AND(ROW(K79)&gt;=189,ROW(K79)&lt;=218)),
N("2 Pas de système scanopy and range opy")+AND(ROW(K79)&gt;=219,ROW(K79)&lt;=248,SCANOPY_N_System&lt;2),
N("3 Avec LC")&amp;IF(ISERROR(LEFT(J78,SEARCH("00",J78)-3)),"",LEFT(J78,SEARCH("00",J78)-3))="LC"),"","☐ ")
&amp;
IF(N("If it's OPY, put OMount Manual instead")+
AND(ROW(J79)&gt;=219,ROW(J79)&lt;=248),
IF(SCANOPY_N_System&gt;1,"OMount Man",""),
IF(N("If it is Dendro+CELL, Tron+Folia or Cam, Do not Show Scanner related items+No Video if LC")+OR(
AND(ROW(K79)&gt;=9,ROW(K79)&lt;=68),
AND(ROW(K79)&gt;=99,ROW(K79)&lt;=158),
AND(ROW(K79)&gt;=189,ROW(K79)&lt;=218),
IF(ISERROR(LEFT(J78,SEARCH("00",J78)-3)),"",LEFT(J78,SEARCH("00",J78)-3))="LC"),
    "", "Video " &amp; IF(1=N("Si système a un scanner différent du Scanner populaire alors différent, sinon Scanner populaire")+AND(NOT(ISERROR(SEARCH("System",J78))),LEFT(J78,2)&lt;&gt;LEFT(PROD_MostPopularScanner,2)),
LEFT(J78,SEARCH("00",J78)-3),
PROD_MostPopularScanner) &amp; " Install"))
)</f>
        <v>☐ Video Scan. Install</v>
      </c>
      <c r="M79" s="378" t="str">
        <f>IF(N("If it is Dendro or Tron, Do not Show Color Analysis Video")+
OR(AND(ROW(L79)&gt;=9,ROW(L79)&lt;=38),
AND(ROW(L79)&gt;=99,ROW(L79)&lt;=128)), "","☐ Video ClrAna")</f>
        <v>☐ Video ClrAna</v>
      </c>
      <c r="N79" s="379" t="str">
        <f>IF(OR(INT((ROW(D79)-10)/30)+1=2,INT((ROW(D79)-10)/30)+1=4),"","☐ ")&amp;
IF(INT((ROW(D79)-10)/30)+1=1,"Scanner.cal","")&amp;
IF(INT((ROW(D79)-10)/30)+1=2,"","")&amp;
IF(INT((ROW(D79)-10)/30)+1=3,"Scanner.cal","")&amp;
IF(INT((ROW(D79)-10)/30)+1=4,"","")&amp;
IF(INT((ROW(D79)-10)/30)+1=5,"Scanner.cal","")&amp;
IF(INT((ROW(D79)-10)/30)+1=6,"Scanner.cal","")&amp;
IF(INT((ROW(D79)-10)/30)+1=7,"Scanner.cal","")&amp;
IF(INT((ROW(D79)-10)/30)+1=8,"Indiv" &amp; " Lens.cal","")</f>
        <v>☐ Scanner.cal</v>
      </c>
      <c r="O79" s="307" t="str">
        <f>IF(AND(ROW(L79)&gt;=9,ROW(L79)&lt;=38),"☐ RegentTarget.blu","")</f>
        <v/>
      </c>
      <c r="P79" s="215"/>
      <c r="Q79" s="215"/>
    </row>
    <row r="80" spans="1:17" ht="24" customHeight="1" x14ac:dyDescent="0.2">
      <c r="A80" s="429" t="s">
        <v>259</v>
      </c>
      <c r="B80" s="224" t="s">
        <v>259</v>
      </c>
      <c r="C80" s="307" t="s">
        <v>152</v>
      </c>
      <c r="D80" s="307" t="str">
        <f xml:space="preserve"> IF(N("If it is Cam, Do not Show XL")+AND(ROW(D80)&gt;=189,ROW(D80)&lt;=218),"","☐ XL Man")</f>
        <v>☐ XL Man</v>
      </c>
      <c r="E80" s="437" t="str">
        <f>IF(N("Si OR dessous = vrai, pas de box")+OR(
N("1 OR Tron ou CELL")+OR(AND(ROW(K79)&gt;=39,ROW(K79)&lt;=68),AND(ROW(K79)&gt;=99,ROW(K79)&lt;=128)),
N("2 Pas de système scanopy and range opy")+AND(ROW(K79)&gt;=219,ROW(K79)&lt;=248,SCANOPY_N_System&lt;2),
N("3 Avec LC")&amp;IF(ISERROR(LEFT(J78,SEARCH("00",J78)-3)),"",LEFT(J78,SEARCH("00",J78)-3))="LC"),"","☐ ")
&amp;
IF(N("If it's OPY, put OMount Manual instead")+
AND(ROW(J79)&gt;=219,ROW(J79)&lt;=248),
IF(SCANOPY_N_System&gt;1,"OMount Man",""),
IF(N("If it is Cell or Tron, Do not Show Scanner related items")+OR(
AND(ROW(K79)&gt;=39,ROW(K79)&lt;=68),
AND(ROW(K79)&gt;=99,ROW(K79)&lt;=128)),
    "", IF(1=N("Si système a un scanner différent du Scanner populaire alors différent, sinon Scanner populaire")+AND(NOT(ISERROR(SEARCH("System",J78))),LEFT(J78,2)&lt;&gt;LEFT(PROD_MostPopularScanner,2)),
LEFT(J78,SEARCH("00",J78)-3),
PROD_MostPopularScanner) &amp; " Install Man"))</f>
        <v>☐ Scan. Install Man</v>
      </c>
      <c r="F80" s="380" t="s">
        <v>275</v>
      </c>
      <c r="G80" s="307" t="s">
        <v>274</v>
      </c>
      <c r="H80" s="439" t="s">
        <v>250</v>
      </c>
      <c r="I80" s="381"/>
      <c r="J80" s="307" t="str">
        <f ca="1">IF(AND(
INDIRECT(
IF(INT((ROW(D80)-10)/30)+1=1,"DENDRO","")&amp;
IF(INT((ROW(D80)-10)/30)+1=2,"CELL","")&amp;
IF(INT((ROW(D80)-10)/30)+1=3,"RHIZO","")&amp;
IF(INT((ROW(D80)-10)/30)+1=4,"RHIZOTRON","")&amp;
IF(INT((ROW(D80)-10)/30)+1=5,"FOLIA","")&amp;
IF(INT((ROW(D80)-10)/30)+1=6,"SEEDLE","")&amp;
IF(INT((ROW(D80)-10)/30)+1=7,"CAM","")&amp;
IF(INT((ROW(D80)-10)/30)+1=8,"SCANOPY","") &amp; "_ChkB_RemoteUpdate"),
INDIRECT(
IF(INT((ROW(D80)-10)/30)+1=1,"DENDRO","")&amp;
IF(INT((ROW(D80)-10)/30)+1=2,"CELL","")&amp;
IF(INT((ROW(D80)-10)/30)+1=3,"RHIZO","")&amp;
IF(INT((ROW(D80)-10)/30)+1=4,"RHIZOTRON","")&amp;
IF(INT((ROW(D80)-10)/30)+1=5,"FOLIA","")&amp;
IF(INT((ROW(D80)-10)/30)+1=6,"SEEDLE","")&amp;
IF(INT((ROW(D80)-10)/30)+1=7,"CAM","")&amp;
IF(INT((ROW(D80)-10)/30)+1=8,"SCANOPY","") &amp; "_ChkBox_UpgradeUpdate")),
"Clé de bois ou Download. Reprogrammation clé client",
"☐ " &amp; IF(AND(QUOTE_Split_SoftwareHardware,QUOTE_InternetDownload),"Man ds env. ""Documents"", Clé ds bulle collée sur env.","Reliée au Man"))</f>
        <v>☐ Reliée au Man</v>
      </c>
      <c r="K80" s="265"/>
      <c r="L80" s="223"/>
      <c r="M80" s="439"/>
      <c r="N80" s="380"/>
      <c r="O80" s="307"/>
      <c r="P80" s="215"/>
      <c r="Q80" s="215"/>
    </row>
    <row r="81" spans="1:17" ht="16.25" customHeight="1" x14ac:dyDescent="0.2">
      <c r="A81" s="417"/>
      <c r="B81" s="292"/>
      <c r="C81" s="906" t="str">
        <f>IF((RHIZO_N_UpgradeUpdate + RHIZO_N_Software ) = 2,"",LEFT(INDEX(RHIZO_SoftwareFullNames,RHIZO_IndexSoftware),FIND(" ",INDEX(RHIZO_SoftwareFullNames,RHIZO_IndexSoftware),FIND(" ",INDEX(RHIZO_SoftwareFullNames,RHIZO_IndexSoftware))+1)) &amp;
RHIZO_YearMostRecent )</f>
        <v/>
      </c>
      <c r="D81" s="906"/>
      <c r="E81" s="300"/>
      <c r="F81" s="300"/>
      <c r="G81" s="271" t="str">
        <f>IF(RHIZO_OptionXL*(RHIZO_N_Software+RHIZO_N_UpgradeUpdate-2)&gt;=((ROW(G81)-ROW($G$69))/4+1),"XLRHIZO "&amp; RHIZO_YearMostRecent,"")</f>
        <v/>
      </c>
      <c r="H81" s="247"/>
      <c r="I81" s="247"/>
      <c r="J81" s="271" t="str">
        <f>IF(RHIZO_N_System-1&gt;=((ROW(G81)-ROW($G$69))/4+1),IF(RHIZO_IndexScanner=1,"STD4800","LA2400") &amp; " System"&amp; IF(AND(RHIZO_ClientWithOrWithoutScanner=2,RHIZO_N_System&gt;1)," Sans Scanner"," Avec Scanner"),
IF(AND(RHIZO_N_Software&gt;RHIZO_N_System,RHIZO_N_Software-1&gt;=((ROW(G81)-ROW($G$69))/4+1)),IF(N_SystemTotal=0,"Software Only",IF(N_STDScanners+N_LAScanners+N_LCScanners=0,"Software Sans Scanner","Software Avec Scanner")),
IF(RHIZO_N_UpgradeUpdate-1&gt;=((ROW(G81)-ROW($G$69))/4+1)-(MAX(RHIZO_N_System,RHIZO_N_Software)-1),"Update","")))</f>
        <v/>
      </c>
      <c r="K81" s="247"/>
      <c r="L81" s="246"/>
      <c r="M81" s="246"/>
      <c r="N81" s="246"/>
      <c r="O81" s="215"/>
      <c r="P81" s="215"/>
      <c r="Q81" s="215"/>
    </row>
    <row r="82" spans="1:17" ht="24" customHeight="1" x14ac:dyDescent="0.2">
      <c r="A82" s="429" t="s">
        <v>258</v>
      </c>
      <c r="B82" s="287" t="s">
        <v>258</v>
      </c>
      <c r="C82" s="378" t="str">
        <f>IF(AND(QUOTE_Split_SoftwareHardware,QUOTE_InternetDownload),"",
"☐☐ Win" &amp;
IF(INT((ROW(D82)-10)/30)+1=1,"DEN","")&amp;
IF(INT((ROW(D82)-10)/30)+1=2,"CEL","")&amp;
IF(INT((ROW(D82)-10)/30)+1=3,"RHI","")&amp;
IF(INT((ROW(D82)-10)/30)+1=4,"RT","")&amp;
IF(INT((ROW(D82)-10)/30)+1=5,"FOL","")&amp;
IF(INT((ROW(D82)-10)/30)+1=6,"SEE","")&amp;
IF(INT((ROW(D82)-10)/30)+1=7,"CAM","")&amp;
IF(INT((ROW(D82)-10)/30)+1=8,"SCA","") &amp; ".exe")</f>
        <v>☐☐ WinRHI.exe</v>
      </c>
      <c r="D82" s="378" t="str">
        <f>IF(AND(QUOTE_Split_SoftwareHardware,QUOTE_InternetDownload),"",
 IF(N("If it is Cam, Do not Show XL")+AND(ROW(D82)&gt;=189,ROW(D82)&lt;=218),"","☐ XL" &amp;
IF(INT((ROW(D82)-10)/30)+1=1,"STEM","")&amp;
IF(INT((ROW(D82)-10)/30)+1=2,"Cell","")&amp;
IF(INT((ROW(D82)-10)/30)+1=3,"Rhizo","")&amp;
IF(INT((ROW(D82)-10)/30)+1=4,"RhizoT","")&amp;
IF(INT((ROW(D82)-10)/30)+1=5,"Folia","")&amp;
IF(INT((ROW(D82)-10)/30)+1=6,"Seedle","")&amp;
IF(INT((ROW(D82)-10)/30)+1=7,"Cam","")&amp;
IF(INT((ROW(D82)-10)/30)+1=8,"Scanopy","") &amp; ".xls"))</f>
        <v>☐ XLRhizo.xls</v>
      </c>
      <c r="E82" s="378" t="s">
        <v>299</v>
      </c>
      <c r="F82" s="379" t="s">
        <v>152</v>
      </c>
      <c r="G82" s="378" t="str">
        <f xml:space="preserve"> IF(N("If it is Cam, Do not Show XL")+AND(ROW(G82)&gt;=189,ROW(G82)&lt;=218),"","☐ XL Man")</f>
        <v>☐ XL Man</v>
      </c>
      <c r="H82" s="379" t="s">
        <v>280</v>
      </c>
      <c r="I82" s="307" t="s">
        <v>274</v>
      </c>
      <c r="J82" s="379" t="str">
        <f>IF(N("Si OR dessous = vrai, pas de box")+OR(
N("1 OR Tron ou CELL")+OR(AND(ROW(E82)&gt;=39,ROW(E82)&lt;=68),AND(ROW(E82)&gt;=99,ROW(E82)&lt;=128)),
N("2 Pas de système scanopy and range opy")+AND(ROW(E82)&gt;=219,ROW(E82)&lt;=248,SCANOPY_N_System&lt;2),
N("3 Avec LC") + IF(AND(IF(PROD_MostPopularScanner="LC",1,0), NOT(AND(ROW(E82)&gt;=129,ROW(E82)&lt;=158)), NOT(AND(ROW(E82)&gt;=189,ROW(E82)&lt;=218))),1,0)
),"","☐ ")
&amp;
IF(N("If it's OPY, put OMount Manual instead")+
AND(ROW(D82)&gt;=219,ROW(D82)&lt;=248),
IF(SCANOPY_N_System&gt;1,
IF(SCANOPY_IndexScanner=1,"α" &amp; SCANOPY_CameraModel,SCANOPY_CameraModel_Mini) &amp; " Man",""),
IF(N("Empty si OR = true . . .If it is Cell or Tron, Do not Show Scanner related items + Hide if LC is favorite on unavailable product")+OR(
AND(ROW(E82)&gt;=39,ROW(E82)&lt;=68),
AND(ROW(E82)&gt;=99,ROW(E82)&lt;=128),
AND(IF(PROD_MostPopularScanner="LC",1,0), NOT(AND(ROW(E82)&gt;=129,ROW(E82)&lt;=158)), NOT(AND(ROW(E82)&gt;=189,ROW(E82)&lt;=218))),
0=1),
    "", IF(1=N("Si système a un scanner différent du Scanner populaire alors différent, sinon Scanner populaire")+AND(NOT(ISERROR(SEARCH("System",J81))),LEFT(J81,2)&lt;&gt;LEFT(PROD_MostPopularScanner,2)),
LEFT(J81,SEARCH("00",J81)-3),
PROD_MostPopularScanner) &amp; " Install Man"))</f>
        <v>☐ Scan. Install Man</v>
      </c>
      <c r="K82" s="378" t="str">
        <f>IF(N("If it is Cell or Tron or OPY, Do not Show Twain")+OR(AND(ROW(K82)&gt;=39,ROW(K82)&lt;=68),AND(ROW(K82)&gt;=99,ROW(K82)&lt;=128),AND(ROW(J82)&gt;=219,ROW(J82)&lt;=248)),"","☐ TWAIN")</f>
        <v>☐ TWAIN</v>
      </c>
      <c r="L82" s="379" t="str">
        <f>IF(AND(IF(PROD_MostPopularScanner="LC",1,0), NOT(AND(ROW(E82)&gt;=129,ROW(E82)&lt;=158)), NOT(AND(ROW(E82)&gt;=189,ROW(E82)&lt;=218))),"",
IF(N("Si OR dessous = vrai, pas de box")+OR(
N("1 OR Dendro+CELL, Tron+Folia,Cam")+OR(
AND(ROW(K82)&gt;=9,ROW(K82)&lt;=68),
AND(ROW(K82)&gt;=99,ROW(K82)&lt;=158),
AND(ROW(K82)&gt;=189,ROW(K82)&lt;=218)),
N("2 Pas de système scanopy and range opy")+AND(ROW(K82)&gt;=219,ROW(K82)&lt;=248,SCANOPY_N_System&lt;2),
N("3 Avec LC")&amp;IF(ISERROR(LEFT(J81,SEARCH("00",J81)-3)),"",LEFT(J81,SEARCH("00",J81)-3))="LC"),"","☐ ")
&amp;
IF(N("If it's OPY, put OMount Manual instead")+
AND(ROW(J82)&gt;=219,ROW(J82)&lt;=248),
IF(SCANOPY_N_System&gt;1,"OMount Man",""),
IF(N("If it is Dendro+CELL, Tron+Folia or Cam, Do not Show Scanner related items+No Video if LC")+OR(
AND(ROW(K82)&gt;=9,ROW(K82)&lt;=68),
AND(ROW(K82)&gt;=99,ROW(K82)&lt;=158),
AND(ROW(K82)&gt;=189,ROW(K82)&lt;=218),
IF(ISERROR(LEFT(J81,SEARCH("00",J81)-3)),"",LEFT(J81,SEARCH("00",J81)-3))="LC"),
    "", "Video " &amp; IF(1=N("Si système a un scanner différent du Scanner populaire alors différent, sinon Scanner populaire")+AND(NOT(ISERROR(SEARCH("System",J81))),LEFT(J81,2)&lt;&gt;LEFT(PROD_MostPopularScanner,2)),
LEFT(J81,SEARCH("00",J81)-3),
PROD_MostPopularScanner) &amp; " Install"))
)</f>
        <v>☐ Video Scan. Install</v>
      </c>
      <c r="M82" s="378" t="str">
        <f>IF(N("If it is Dendro or Tron, Do not Show Color Analysis Video")+
OR(AND(ROW(L82)&gt;=9,ROW(L82)&lt;=38),
AND(ROW(L82)&gt;=99,ROW(L82)&lt;=128)), "","☐ Video ClrAna")</f>
        <v>☐ Video ClrAna</v>
      </c>
      <c r="N82" s="379" t="str">
        <f>IF(OR(INT((ROW(D82)-10)/30)+1=2,INT((ROW(D82)-10)/30)+1=4),"","☐ ")&amp;
IF(INT((ROW(D82)-10)/30)+1=1,"Scanner.cal","")&amp;
IF(INT((ROW(D82)-10)/30)+1=2,"","")&amp;
IF(INT((ROW(D82)-10)/30)+1=3,"Scanner.cal","")&amp;
IF(INT((ROW(D82)-10)/30)+1=4,"","")&amp;
IF(INT((ROW(D82)-10)/30)+1=5,"Scanner.cal","")&amp;
IF(INT((ROW(D82)-10)/30)+1=6,"Scanner.cal","")&amp;
IF(INT((ROW(D82)-10)/30)+1=7,"Scanner.cal","")&amp;
IF(INT((ROW(D82)-10)/30)+1=8,"Indiv" &amp; " Lens.cal","")</f>
        <v>☐ Scanner.cal</v>
      </c>
      <c r="O82" s="307" t="str">
        <f>IF(AND(ROW(L82)&gt;=9,ROW(L82)&lt;=38),"☐ RegentTarget.blu","")</f>
        <v/>
      </c>
      <c r="P82" s="215"/>
      <c r="Q82" s="215"/>
    </row>
    <row r="83" spans="1:17" ht="24" customHeight="1" x14ac:dyDescent="0.2">
      <c r="A83" s="429" t="s">
        <v>259</v>
      </c>
      <c r="B83" s="224" t="s">
        <v>259</v>
      </c>
      <c r="C83" s="307" t="s">
        <v>152</v>
      </c>
      <c r="D83" s="307" t="str">
        <f xml:space="preserve"> IF(N("If it is Cam, Do not Show XL")+AND(ROW(D83)&gt;=189,ROW(D83)&lt;=218),"","☐ XL Man")</f>
        <v>☐ XL Man</v>
      </c>
      <c r="E83" s="437" t="str">
        <f>IF(N("Si OR dessous = vrai, pas de box")+OR(
N("1 OR Tron ou CELL")+OR(AND(ROW(K82)&gt;=39,ROW(K82)&lt;=68),AND(ROW(K82)&gt;=99,ROW(K82)&lt;=128)),
N("2 Pas de système scanopy and range opy")+AND(ROW(K82)&gt;=219,ROW(K82)&lt;=248,SCANOPY_N_System&lt;2),
N("3 Avec LC")&amp;IF(ISERROR(LEFT(J81,SEARCH("00",J81)-3)),"",LEFT(J81,SEARCH("00",J81)-3))="LC"),"","☐ ")
&amp;
IF(N("If it's OPY, put OMount Manual instead")+
AND(ROW(J82)&gt;=219,ROW(J82)&lt;=248),
IF(SCANOPY_N_System&gt;1,"OMount Man",""),
IF(N("If it is Cell or Tron, Do not Show Scanner related items")+OR(
AND(ROW(K82)&gt;=39,ROW(K82)&lt;=68),
AND(ROW(K82)&gt;=99,ROW(K82)&lt;=128)),
    "", IF(1=N("Si système a un scanner différent du Scanner populaire alors différent, sinon Scanner populaire")+AND(NOT(ISERROR(SEARCH("System",J81))),LEFT(J81,2)&lt;&gt;LEFT(PROD_MostPopularScanner,2)),
LEFT(J81,SEARCH("00",J81)-3),
PROD_MostPopularScanner) &amp; " Install Man"))</f>
        <v>☐ Scan. Install Man</v>
      </c>
      <c r="F83" s="380" t="s">
        <v>275</v>
      </c>
      <c r="G83" s="307" t="s">
        <v>274</v>
      </c>
      <c r="H83" s="439" t="s">
        <v>250</v>
      </c>
      <c r="I83" s="381"/>
      <c r="J83" s="307" t="str">
        <f ca="1">IF(AND(
INDIRECT(
IF(INT((ROW(D83)-10)/30)+1=1,"DENDRO","")&amp;
IF(INT((ROW(D83)-10)/30)+1=2,"CELL","")&amp;
IF(INT((ROW(D83)-10)/30)+1=3,"RHIZO","")&amp;
IF(INT((ROW(D83)-10)/30)+1=4,"RHIZOTRON","")&amp;
IF(INT((ROW(D83)-10)/30)+1=5,"FOLIA","")&amp;
IF(INT((ROW(D83)-10)/30)+1=6,"SEEDLE","")&amp;
IF(INT((ROW(D83)-10)/30)+1=7,"CAM","")&amp;
IF(INT((ROW(D83)-10)/30)+1=8,"SCANOPY","") &amp; "_ChkB_RemoteUpdate"),
INDIRECT(
IF(INT((ROW(D83)-10)/30)+1=1,"DENDRO","")&amp;
IF(INT((ROW(D83)-10)/30)+1=2,"CELL","")&amp;
IF(INT((ROW(D83)-10)/30)+1=3,"RHIZO","")&amp;
IF(INT((ROW(D83)-10)/30)+1=4,"RHIZOTRON","")&amp;
IF(INT((ROW(D83)-10)/30)+1=5,"FOLIA","")&amp;
IF(INT((ROW(D83)-10)/30)+1=6,"SEEDLE","")&amp;
IF(INT((ROW(D83)-10)/30)+1=7,"CAM","")&amp;
IF(INT((ROW(D83)-10)/30)+1=8,"SCANOPY","") &amp; "_ChkBox_UpgradeUpdate")),
"Clé de bois ou Download. Reprogrammation clé client",
"☐ " &amp; IF(AND(QUOTE_Split_SoftwareHardware,QUOTE_InternetDownload),"Man ds env. ""Documents"", Clé ds bulle collée sur env.","Reliée au Man"))</f>
        <v>☐ Reliée au Man</v>
      </c>
      <c r="K83" s="265"/>
      <c r="L83" s="223"/>
      <c r="M83" s="439"/>
      <c r="N83" s="380"/>
      <c r="O83" s="307"/>
      <c r="P83" s="215"/>
      <c r="Q83" s="215"/>
    </row>
    <row r="84" spans="1:17" ht="16.25" customHeight="1" x14ac:dyDescent="0.2">
      <c r="A84" s="417"/>
      <c r="B84" s="292"/>
      <c r="C84" s="906" t="str">
        <f>IF((RHIZO_N_UpgradeUpdate + RHIZO_N_Software ) = 2,"",LEFT(INDEX(RHIZO_SoftwareFullNames,RHIZO_IndexSoftware),FIND(" ",INDEX(RHIZO_SoftwareFullNames,RHIZO_IndexSoftware),FIND(" ",INDEX(RHIZO_SoftwareFullNames,RHIZO_IndexSoftware))+1)) &amp;
RHIZO_YearMostRecent )</f>
        <v/>
      </c>
      <c r="D84" s="906"/>
      <c r="E84" s="300"/>
      <c r="F84" s="300"/>
      <c r="G84" s="271" t="str">
        <f>IF(RHIZO_OptionXL*(RHIZO_N_Software+RHIZO_N_UpgradeUpdate-2)&gt;=((ROW(G84)-ROW($G$69))/4+1),"XLRHIZO "&amp; RHIZO_YearMostRecent,"")</f>
        <v/>
      </c>
      <c r="H84" s="247"/>
      <c r="I84" s="247"/>
      <c r="J84" s="271" t="str">
        <f>IF(RHIZO_N_System-1&gt;=((ROW(G84)-ROW($G$69))/4+1),IF(RHIZO_IndexScanner=1,"STD4800","LA2400") &amp; " System"&amp; IF(AND(RHIZO_ClientWithOrWithoutScanner=2,RHIZO_N_System&gt;1)," Sans Scanner"," Avec Scanner"),
IF(AND(RHIZO_N_Software&gt;RHIZO_N_System,RHIZO_N_Software-1&gt;=((ROW(G84)-ROW($G$69))/4+1)),IF(N_SystemTotal=0,"Software Only",IF(N_STDScanners+N_LAScanners+N_LCScanners=0,"Software Sans Scanner","Software Avec Scanner")),
IF(RHIZO_N_UpgradeUpdate-1&gt;=((ROW(G84)-ROW($G$69))/4+1)-(MAX(RHIZO_N_System,RHIZO_N_Software)-1),"Update","")))</f>
        <v/>
      </c>
      <c r="K84" s="247"/>
      <c r="L84" s="246"/>
      <c r="M84" s="246"/>
      <c r="N84" s="246"/>
      <c r="O84" s="215"/>
      <c r="P84" s="215"/>
      <c r="Q84" s="215"/>
    </row>
    <row r="85" spans="1:17" ht="24" customHeight="1" x14ac:dyDescent="0.2">
      <c r="A85" s="429" t="s">
        <v>258</v>
      </c>
      <c r="B85" s="287" t="s">
        <v>258</v>
      </c>
      <c r="C85" s="378" t="str">
        <f>IF(AND(QUOTE_Split_SoftwareHardware,QUOTE_InternetDownload),"",
"☐☐ Win" &amp;
IF(INT((ROW(D85)-10)/30)+1=1,"DEN","")&amp;
IF(INT((ROW(D85)-10)/30)+1=2,"CEL","")&amp;
IF(INT((ROW(D85)-10)/30)+1=3,"RHI","")&amp;
IF(INT((ROW(D85)-10)/30)+1=4,"RT","")&amp;
IF(INT((ROW(D85)-10)/30)+1=5,"FOL","")&amp;
IF(INT((ROW(D85)-10)/30)+1=6,"SEE","")&amp;
IF(INT((ROW(D85)-10)/30)+1=7,"CAM","")&amp;
IF(INT((ROW(D85)-10)/30)+1=8,"SCA","") &amp; ".exe")</f>
        <v>☐☐ WinRHI.exe</v>
      </c>
      <c r="D85" s="378" t="str">
        <f>IF(AND(QUOTE_Split_SoftwareHardware,QUOTE_InternetDownload),"",
 IF(N("If it is Cam, Do not Show XL")+AND(ROW(D85)&gt;=189,ROW(D85)&lt;=218),"","☐ XL" &amp;
IF(INT((ROW(D85)-10)/30)+1=1,"STEM","")&amp;
IF(INT((ROW(D85)-10)/30)+1=2,"Cell","")&amp;
IF(INT((ROW(D85)-10)/30)+1=3,"Rhizo","")&amp;
IF(INT((ROW(D85)-10)/30)+1=4,"RhizoT","")&amp;
IF(INT((ROW(D85)-10)/30)+1=5,"Folia","")&amp;
IF(INT((ROW(D85)-10)/30)+1=6,"Seedle","")&amp;
IF(INT((ROW(D85)-10)/30)+1=7,"Cam","")&amp;
IF(INT((ROW(D85)-10)/30)+1=8,"Scanopy","") &amp; ".xls"))</f>
        <v>☐ XLRhizo.xls</v>
      </c>
      <c r="E85" s="378" t="s">
        <v>299</v>
      </c>
      <c r="F85" s="379" t="s">
        <v>152</v>
      </c>
      <c r="G85" s="378" t="str">
        <f xml:space="preserve"> IF(N("If it is Cam, Do not Show XL")+AND(ROW(G85)&gt;=189,ROW(G85)&lt;=218),"","☐ XL Man")</f>
        <v>☐ XL Man</v>
      </c>
      <c r="H85" s="379" t="s">
        <v>280</v>
      </c>
      <c r="I85" s="307" t="s">
        <v>274</v>
      </c>
      <c r="J85" s="379" t="str">
        <f>IF(N("Si OR dessous = vrai, pas de box")+OR(
N("1 OR Tron ou CELL")+OR(AND(ROW(E85)&gt;=39,ROW(E85)&lt;=68),AND(ROW(E85)&gt;=99,ROW(E85)&lt;=128)),
N("2 Pas de système scanopy and range opy")+AND(ROW(E85)&gt;=219,ROW(E85)&lt;=248,SCANOPY_N_System&lt;2),
N("3 Avec LC") + IF(AND(IF(PROD_MostPopularScanner="LC",1,0), NOT(AND(ROW(E85)&gt;=129,ROW(E85)&lt;=158)), NOT(AND(ROW(E85)&gt;=189,ROW(E85)&lt;=218))),1,0)
),"","☐ ")
&amp;
IF(N("If it's OPY, put OMount Manual instead")+
AND(ROW(D85)&gt;=219,ROW(D85)&lt;=248),
IF(SCANOPY_N_System&gt;1,
IF(SCANOPY_IndexScanner=1,"α" &amp; SCANOPY_CameraModel,SCANOPY_CameraModel_Mini) &amp; " Man",""),
IF(N("Empty si OR = true . . .If it is Cell or Tron, Do not Show Scanner related items + Hide if LC is favorite on unavailable product")+OR(
AND(ROW(E85)&gt;=39,ROW(E85)&lt;=68),
AND(ROW(E85)&gt;=99,ROW(E85)&lt;=128),
AND(IF(PROD_MostPopularScanner="LC",1,0), NOT(AND(ROW(E85)&gt;=129,ROW(E85)&lt;=158)), NOT(AND(ROW(E85)&gt;=189,ROW(E85)&lt;=218))),
0=1),
    "", IF(1=N("Si système a un scanner différent du Scanner populaire alors différent, sinon Scanner populaire")+AND(NOT(ISERROR(SEARCH("System",J84))),LEFT(J84,2)&lt;&gt;LEFT(PROD_MostPopularScanner,2)),
LEFT(J84,SEARCH("00",J84)-3),
PROD_MostPopularScanner) &amp; " Install Man"))</f>
        <v>☐ Scan. Install Man</v>
      </c>
      <c r="K85" s="378" t="str">
        <f>IF(N("If it is Cell or Tron or OPY, Do not Show Twain")+OR(AND(ROW(K85)&gt;=39,ROW(K85)&lt;=68),AND(ROW(K85)&gt;=99,ROW(K85)&lt;=128),AND(ROW(J85)&gt;=219,ROW(J85)&lt;=248)),"","☐ TWAIN")</f>
        <v>☐ TWAIN</v>
      </c>
      <c r="L85" s="379" t="str">
        <f>IF(AND(IF(PROD_MostPopularScanner="LC",1,0), NOT(AND(ROW(E85)&gt;=129,ROW(E85)&lt;=158)), NOT(AND(ROW(E85)&gt;=189,ROW(E85)&lt;=218))),"",
IF(N("Si OR dessous = vrai, pas de box")+OR(
N("1 OR Dendro+CELL, Tron+Folia,Cam")+OR(
AND(ROW(K85)&gt;=9,ROW(K85)&lt;=68),
AND(ROW(K85)&gt;=99,ROW(K85)&lt;=158),
AND(ROW(K85)&gt;=189,ROW(K85)&lt;=218)),
N("2 Pas de système scanopy and range opy")+AND(ROW(K85)&gt;=219,ROW(K85)&lt;=248,SCANOPY_N_System&lt;2),
N("3 Avec LC")&amp;IF(ISERROR(LEFT(J84,SEARCH("00",J84)-3)),"",LEFT(J84,SEARCH("00",J84)-3))="LC"),"","☐ ")
&amp;
IF(N("If it's OPY, put OMount Manual instead")+
AND(ROW(J85)&gt;=219,ROW(J85)&lt;=248),
IF(SCANOPY_N_System&gt;1,"OMount Man",""),
IF(N("If it is Dendro+CELL, Tron+Folia or Cam, Do not Show Scanner related items+No Video if LC")+OR(
AND(ROW(K85)&gt;=9,ROW(K85)&lt;=68),
AND(ROW(K85)&gt;=99,ROW(K85)&lt;=158),
AND(ROW(K85)&gt;=189,ROW(K85)&lt;=218),
IF(ISERROR(LEFT(J84,SEARCH("00",J84)-3)),"",LEFT(J84,SEARCH("00",J84)-3))="LC"),
    "", "Video " &amp; IF(1=N("Si système a un scanner différent du Scanner populaire alors différent, sinon Scanner populaire")+AND(NOT(ISERROR(SEARCH("System",J84))),LEFT(J84,2)&lt;&gt;LEFT(PROD_MostPopularScanner,2)),
LEFT(J84,SEARCH("00",J84)-3),
PROD_MostPopularScanner) &amp; " Install"))
)</f>
        <v>☐ Video Scan. Install</v>
      </c>
      <c r="M85" s="378" t="str">
        <f>IF(N("If it is Dendro or Tron, Do not Show Color Analysis Video")+
OR(AND(ROW(L85)&gt;=9,ROW(L85)&lt;=38),
AND(ROW(L85)&gt;=99,ROW(L85)&lt;=128)), "","☐ Video ClrAna")</f>
        <v>☐ Video ClrAna</v>
      </c>
      <c r="N85" s="379" t="str">
        <f>IF(OR(INT((ROW(D85)-10)/30)+1=2,INT((ROW(D85)-10)/30)+1=4),"","☐ ")&amp;
IF(INT((ROW(D85)-10)/30)+1=1,"Scanner.cal","")&amp;
IF(INT((ROW(D85)-10)/30)+1=2,"","")&amp;
IF(INT((ROW(D85)-10)/30)+1=3,"Scanner.cal","")&amp;
IF(INT((ROW(D85)-10)/30)+1=4,"","")&amp;
IF(INT((ROW(D85)-10)/30)+1=5,"Scanner.cal","")&amp;
IF(INT((ROW(D85)-10)/30)+1=6,"Scanner.cal","")&amp;
IF(INT((ROW(D85)-10)/30)+1=7,"Scanner.cal","")&amp;
IF(INT((ROW(D85)-10)/30)+1=8,"Indiv" &amp; " Lens.cal","")</f>
        <v>☐ Scanner.cal</v>
      </c>
      <c r="O85" s="307" t="str">
        <f>IF(AND(ROW(L85)&gt;=9,ROW(L85)&lt;=38),"☐ RegentTarget.blu","")</f>
        <v/>
      </c>
      <c r="P85" s="215"/>
      <c r="Q85" s="215"/>
    </row>
    <row r="86" spans="1:17" ht="24" customHeight="1" x14ac:dyDescent="0.2">
      <c r="A86" s="429" t="s">
        <v>259</v>
      </c>
      <c r="B86" s="224" t="s">
        <v>259</v>
      </c>
      <c r="C86" s="307" t="s">
        <v>152</v>
      </c>
      <c r="D86" s="307" t="str">
        <f xml:space="preserve"> IF(N("If it is Cam, Do not Show XL")+AND(ROW(D86)&gt;=189,ROW(D86)&lt;=218),"","☐ XL Man")</f>
        <v>☐ XL Man</v>
      </c>
      <c r="E86" s="437" t="str">
        <f>IF(N("Si OR dessous = vrai, pas de box")+OR(
N("1 OR Tron ou CELL")+OR(AND(ROW(K85)&gt;=39,ROW(K85)&lt;=68),AND(ROW(K85)&gt;=99,ROW(K85)&lt;=128)),
N("2 Pas de système scanopy and range opy")+AND(ROW(K85)&gt;=219,ROW(K85)&lt;=248,SCANOPY_N_System&lt;2),
N("3 Avec LC")&amp;IF(ISERROR(LEFT(J84,SEARCH("00",J84)-3)),"",LEFT(J84,SEARCH("00",J84)-3))="LC"),"","☐ ")
&amp;
IF(N("If it's OPY, put OMount Manual instead")+
AND(ROW(J85)&gt;=219,ROW(J85)&lt;=248),
IF(SCANOPY_N_System&gt;1,"OMount Man",""),
IF(N("If it is Cell or Tron, Do not Show Scanner related items")+OR(
AND(ROW(K85)&gt;=39,ROW(K85)&lt;=68),
AND(ROW(K85)&gt;=99,ROW(K85)&lt;=128)),
    "", IF(1=N("Si système a un scanner différent du Scanner populaire alors différent, sinon Scanner populaire")+AND(NOT(ISERROR(SEARCH("System",J84))),LEFT(J84,2)&lt;&gt;LEFT(PROD_MostPopularScanner,2)),
LEFT(J84,SEARCH("00",J84)-3),
PROD_MostPopularScanner) &amp; " Install Man"))</f>
        <v>☐ Scan. Install Man</v>
      </c>
      <c r="F86" s="380" t="s">
        <v>275</v>
      </c>
      <c r="G86" s="307" t="s">
        <v>274</v>
      </c>
      <c r="H86" s="439" t="s">
        <v>250</v>
      </c>
      <c r="I86" s="381"/>
      <c r="J86" s="307" t="str">
        <f ca="1">IF(AND(
INDIRECT(
IF(INT((ROW(D86)-10)/30)+1=1,"DENDRO","")&amp;
IF(INT((ROW(D86)-10)/30)+1=2,"CELL","")&amp;
IF(INT((ROW(D86)-10)/30)+1=3,"RHIZO","")&amp;
IF(INT((ROW(D86)-10)/30)+1=4,"RHIZOTRON","")&amp;
IF(INT((ROW(D86)-10)/30)+1=5,"FOLIA","")&amp;
IF(INT((ROW(D86)-10)/30)+1=6,"SEEDLE","")&amp;
IF(INT((ROW(D86)-10)/30)+1=7,"CAM","")&amp;
IF(INT((ROW(D86)-10)/30)+1=8,"SCANOPY","") &amp; "_ChkB_RemoteUpdate"),
INDIRECT(
IF(INT((ROW(D86)-10)/30)+1=1,"DENDRO","")&amp;
IF(INT((ROW(D86)-10)/30)+1=2,"CELL","")&amp;
IF(INT((ROW(D86)-10)/30)+1=3,"RHIZO","")&amp;
IF(INT((ROW(D86)-10)/30)+1=4,"RHIZOTRON","")&amp;
IF(INT((ROW(D86)-10)/30)+1=5,"FOLIA","")&amp;
IF(INT((ROW(D86)-10)/30)+1=6,"SEEDLE","")&amp;
IF(INT((ROW(D86)-10)/30)+1=7,"CAM","")&amp;
IF(INT((ROW(D86)-10)/30)+1=8,"SCANOPY","") &amp; "_ChkBox_UpgradeUpdate")),
"Clé de bois ou Download. Reprogrammation clé client",
"☐ " &amp; IF(AND(QUOTE_Split_SoftwareHardware,QUOTE_InternetDownload),"Man ds env. ""Documents"", Clé ds bulle collée sur env.","Reliée au Man"))</f>
        <v>☐ Reliée au Man</v>
      </c>
      <c r="K86" s="265"/>
      <c r="L86" s="223"/>
      <c r="M86" s="439"/>
      <c r="N86" s="380"/>
      <c r="O86" s="307"/>
      <c r="P86" s="215"/>
      <c r="Q86" s="215"/>
    </row>
    <row r="87" spans="1:17" ht="16.25" customHeight="1" x14ac:dyDescent="0.2">
      <c r="A87" s="417"/>
      <c r="B87" s="292"/>
      <c r="C87" s="906" t="str">
        <f>IF((RHIZO_N_UpgradeUpdate + RHIZO_N_Software ) = 2,"",LEFT(INDEX(RHIZO_SoftwareFullNames,RHIZO_IndexSoftware),FIND(" ",INDEX(RHIZO_SoftwareFullNames,RHIZO_IndexSoftware),FIND(" ",INDEX(RHIZO_SoftwareFullNames,RHIZO_IndexSoftware))+1)) &amp;
RHIZO_YearMostRecent )</f>
        <v/>
      </c>
      <c r="D87" s="906"/>
      <c r="E87" s="300"/>
      <c r="F87" s="300"/>
      <c r="G87" s="271" t="str">
        <f>IF(RHIZO_OptionXL*(RHIZO_N_Software+RHIZO_N_UpgradeUpdate-2)&gt;=((ROW(G87)-ROW($G$69))/4+1),"XLRHIZO "&amp; RHIZO_YearMostRecent,"")</f>
        <v/>
      </c>
      <c r="H87" s="247"/>
      <c r="I87" s="247"/>
      <c r="J87" s="271" t="str">
        <f>IF(RHIZO_N_System-1&gt;=((ROW(G87)-ROW($G$69))/4+1),IF(RHIZO_IndexScanner=1,"STD4800","LA2400") &amp; " System"&amp; IF(AND(RHIZO_ClientWithOrWithoutScanner=2,RHIZO_N_System&gt;1)," Sans Scanner"," Avec Scanner"),
IF(AND(RHIZO_N_Software&gt;RHIZO_N_System,RHIZO_N_Software-1&gt;=((ROW(G87)-ROW($G$69))/4+1)),IF(N_SystemTotal=0,"Software Only",IF(N_STDScanners+N_LAScanners+N_LCScanners=0,"Software Sans Scanner","Software Avec Scanner")),
IF(RHIZO_N_UpgradeUpdate-1&gt;=((ROW(G87)-ROW($G$69))/4+1)-(MAX(RHIZO_N_System,RHIZO_N_Software)-1),"Update","")))</f>
        <v/>
      </c>
      <c r="K87" s="247"/>
      <c r="L87" s="246"/>
      <c r="M87" s="246"/>
      <c r="N87" s="246"/>
      <c r="O87" s="215"/>
      <c r="P87" s="215"/>
      <c r="Q87" s="215"/>
    </row>
    <row r="88" spans="1:17" ht="24" customHeight="1" x14ac:dyDescent="0.2">
      <c r="A88" s="429" t="s">
        <v>258</v>
      </c>
      <c r="B88" s="287" t="s">
        <v>258</v>
      </c>
      <c r="C88" s="378" t="str">
        <f>IF(AND(QUOTE_Split_SoftwareHardware,QUOTE_InternetDownload),"",
"☐☐ Win" &amp;
IF(INT((ROW(D88)-10)/30)+1=1,"DEN","")&amp;
IF(INT((ROW(D88)-10)/30)+1=2,"CEL","")&amp;
IF(INT((ROW(D88)-10)/30)+1=3,"RHI","")&amp;
IF(INT((ROW(D88)-10)/30)+1=4,"RT","")&amp;
IF(INT((ROW(D88)-10)/30)+1=5,"FOL","")&amp;
IF(INT((ROW(D88)-10)/30)+1=6,"SEE","")&amp;
IF(INT((ROW(D88)-10)/30)+1=7,"CAM","")&amp;
IF(INT((ROW(D88)-10)/30)+1=8,"SCA","") &amp; ".exe")</f>
        <v>☐☐ WinRHI.exe</v>
      </c>
      <c r="D88" s="378" t="str">
        <f>IF(AND(QUOTE_Split_SoftwareHardware,QUOTE_InternetDownload),"",
 IF(N("If it is Cam, Do not Show XL")+AND(ROW(D88)&gt;=189,ROW(D88)&lt;=218),"","☐ XL" &amp;
IF(INT((ROW(D88)-10)/30)+1=1,"STEM","")&amp;
IF(INT((ROW(D88)-10)/30)+1=2,"Cell","")&amp;
IF(INT((ROW(D88)-10)/30)+1=3,"Rhizo","")&amp;
IF(INT((ROW(D88)-10)/30)+1=4,"RhizoT","")&amp;
IF(INT((ROW(D88)-10)/30)+1=5,"Folia","")&amp;
IF(INT((ROW(D88)-10)/30)+1=6,"Seedle","")&amp;
IF(INT((ROW(D88)-10)/30)+1=7,"Cam","")&amp;
IF(INT((ROW(D88)-10)/30)+1=8,"Scanopy","") &amp; ".xls"))</f>
        <v>☐ XLRhizo.xls</v>
      </c>
      <c r="E88" s="378" t="s">
        <v>299</v>
      </c>
      <c r="F88" s="379" t="s">
        <v>152</v>
      </c>
      <c r="G88" s="378" t="str">
        <f xml:space="preserve"> IF(N("If it is Cam, Do not Show XL")+AND(ROW(G88)&gt;=189,ROW(G88)&lt;=218),"","☐ XL Man")</f>
        <v>☐ XL Man</v>
      </c>
      <c r="H88" s="379" t="s">
        <v>280</v>
      </c>
      <c r="I88" s="307" t="s">
        <v>274</v>
      </c>
      <c r="J88" s="379" t="str">
        <f>IF(N("Si OR dessous = vrai, pas de box")+OR(
N("1 OR Tron ou CELL")+OR(AND(ROW(E88)&gt;=39,ROW(E88)&lt;=68),AND(ROW(E88)&gt;=99,ROW(E88)&lt;=128)),
N("2 Pas de système scanopy and range opy")+AND(ROW(E88)&gt;=219,ROW(E88)&lt;=248,SCANOPY_N_System&lt;2),
N("3 Avec LC") + IF(AND(IF(PROD_MostPopularScanner="LC",1,0), NOT(AND(ROW(E88)&gt;=129,ROW(E88)&lt;=158)), NOT(AND(ROW(E88)&gt;=189,ROW(E88)&lt;=218))),1,0)
),"","☐ ")
&amp;
IF(N("If it's OPY, put OMount Manual instead")+
AND(ROW(D88)&gt;=219,ROW(D88)&lt;=248),
IF(SCANOPY_N_System&gt;1,
IF(SCANOPY_IndexScanner=1,"α" &amp; SCANOPY_CameraModel,SCANOPY_CameraModel_Mini) &amp; " Man",""),
IF(N("Empty si OR = true . . .If it is Cell or Tron, Do not Show Scanner related items + Hide if LC is favorite on unavailable product")+OR(
AND(ROW(E88)&gt;=39,ROW(E88)&lt;=68),
AND(ROW(E88)&gt;=99,ROW(E88)&lt;=128),
AND(IF(PROD_MostPopularScanner="LC",1,0), NOT(AND(ROW(E88)&gt;=129,ROW(E88)&lt;=158)), NOT(AND(ROW(E88)&gt;=189,ROW(E88)&lt;=218))),
0=1),
    "", IF(1=N("Si système a un scanner différent du Scanner populaire alors différent, sinon Scanner populaire")+AND(NOT(ISERROR(SEARCH("System",J87))),LEFT(J87,2)&lt;&gt;LEFT(PROD_MostPopularScanner,2)),
LEFT(J87,SEARCH("00",J87)-3),
PROD_MostPopularScanner) &amp; " Install Man"))</f>
        <v>☐ Scan. Install Man</v>
      </c>
      <c r="K88" s="378" t="str">
        <f>IF(N("If it is Cell or Tron or OPY, Do not Show Twain")+OR(AND(ROW(K88)&gt;=39,ROW(K88)&lt;=68),AND(ROW(K88)&gt;=99,ROW(K88)&lt;=128),AND(ROW(J88)&gt;=219,ROW(J88)&lt;=248)),"","☐ TWAIN")</f>
        <v>☐ TWAIN</v>
      </c>
      <c r="L88" s="379" t="str">
        <f>IF(AND(IF(PROD_MostPopularScanner="LC",1,0), NOT(AND(ROW(E88)&gt;=129,ROW(E88)&lt;=158)), NOT(AND(ROW(E88)&gt;=189,ROW(E88)&lt;=218))),"",
IF(N("Si OR dessous = vrai, pas de box")+OR(
N("1 OR Dendro+CELL, Tron+Folia,Cam")+OR(
AND(ROW(K88)&gt;=9,ROW(K88)&lt;=68),
AND(ROW(K88)&gt;=99,ROW(K88)&lt;=158),
AND(ROW(K88)&gt;=189,ROW(K88)&lt;=218)),
N("2 Pas de système scanopy and range opy")+AND(ROW(K88)&gt;=219,ROW(K88)&lt;=248,SCANOPY_N_System&lt;2),
N("3 Avec LC")&amp;IF(ISERROR(LEFT(J87,SEARCH("00",J87)-3)),"",LEFT(J87,SEARCH("00",J87)-3))="LC"),"","☐ ")
&amp;
IF(N("If it's OPY, put OMount Manual instead")+
AND(ROW(J88)&gt;=219,ROW(J88)&lt;=248),
IF(SCANOPY_N_System&gt;1,"OMount Man",""),
IF(N("If it is Dendro+CELL, Tron+Folia or Cam, Do not Show Scanner related items+No Video if LC")+OR(
AND(ROW(K88)&gt;=9,ROW(K88)&lt;=68),
AND(ROW(K88)&gt;=99,ROW(K88)&lt;=158),
AND(ROW(K88)&gt;=189,ROW(K88)&lt;=218),
IF(ISERROR(LEFT(J87,SEARCH("00",J87)-3)),"",LEFT(J87,SEARCH("00",J87)-3))="LC"),
    "", "Video " &amp; IF(1=N("Si système a un scanner différent du Scanner populaire alors différent, sinon Scanner populaire")+AND(NOT(ISERROR(SEARCH("System",J87))),LEFT(J87,2)&lt;&gt;LEFT(PROD_MostPopularScanner,2)),
LEFT(J87,SEARCH("00",J87)-3),
PROD_MostPopularScanner) &amp; " Install"))
)</f>
        <v>☐ Video Scan. Install</v>
      </c>
      <c r="M88" s="378" t="str">
        <f>IF(N("If it is Dendro or Tron, Do not Show Color Analysis Video")+
OR(AND(ROW(L88)&gt;=9,ROW(L88)&lt;=38),
AND(ROW(L88)&gt;=99,ROW(L88)&lt;=128)), "","☐ Video ClrAna")</f>
        <v>☐ Video ClrAna</v>
      </c>
      <c r="N88" s="379" t="str">
        <f>IF(OR(INT((ROW(D88)-10)/30)+1=2,INT((ROW(D88)-10)/30)+1=4),"","☐ ")&amp;
IF(INT((ROW(D88)-10)/30)+1=1,"Scanner.cal","")&amp;
IF(INT((ROW(D88)-10)/30)+1=2,"","")&amp;
IF(INT((ROW(D88)-10)/30)+1=3,"Scanner.cal","")&amp;
IF(INT((ROW(D88)-10)/30)+1=4,"","")&amp;
IF(INT((ROW(D88)-10)/30)+1=5,"Scanner.cal","")&amp;
IF(INT((ROW(D88)-10)/30)+1=6,"Scanner.cal","")&amp;
IF(INT((ROW(D88)-10)/30)+1=7,"Scanner.cal","")&amp;
IF(INT((ROW(D88)-10)/30)+1=8,"Indiv" &amp; " Lens.cal","")</f>
        <v>☐ Scanner.cal</v>
      </c>
      <c r="O88" s="307" t="str">
        <f>IF(AND(ROW(L88)&gt;=9,ROW(L88)&lt;=38),"☐ RegentTarget.blu","")</f>
        <v/>
      </c>
      <c r="P88" s="215"/>
      <c r="Q88" s="215"/>
    </row>
    <row r="89" spans="1:17" ht="24" customHeight="1" x14ac:dyDescent="0.2">
      <c r="A89" s="429" t="s">
        <v>259</v>
      </c>
      <c r="B89" s="224" t="s">
        <v>259</v>
      </c>
      <c r="C89" s="307" t="s">
        <v>152</v>
      </c>
      <c r="D89" s="307" t="str">
        <f xml:space="preserve"> IF(N("If it is Cam, Do not Show XL")+AND(ROW(D89)&gt;=189,ROW(D89)&lt;=218),"","☐ XL Man")</f>
        <v>☐ XL Man</v>
      </c>
      <c r="E89" s="437" t="str">
        <f>IF(N("Si OR dessous = vrai, pas de box")+OR(
N("1 OR Tron ou CELL")+OR(AND(ROW(K88)&gt;=39,ROW(K88)&lt;=68),AND(ROW(K88)&gt;=99,ROW(K88)&lt;=128)),
N("2 Pas de système scanopy and range opy")+AND(ROW(K88)&gt;=219,ROW(K88)&lt;=248,SCANOPY_N_System&lt;2),
N("3 Avec LC")&amp;IF(ISERROR(LEFT(J87,SEARCH("00",J87)-3)),"",LEFT(J87,SEARCH("00",J87)-3))="LC"),"","☐ ")
&amp;
IF(N("If it's OPY, put OMount Manual instead")+
AND(ROW(J88)&gt;=219,ROW(J88)&lt;=248),
IF(SCANOPY_N_System&gt;1,"OMount Man",""),
IF(N("If it is Cell or Tron, Do not Show Scanner related items")+OR(
AND(ROW(K88)&gt;=39,ROW(K88)&lt;=68),
AND(ROW(K88)&gt;=99,ROW(K88)&lt;=128)),
    "", IF(1=N("Si système a un scanner différent du Scanner populaire alors différent, sinon Scanner populaire")+AND(NOT(ISERROR(SEARCH("System",J87))),LEFT(J87,2)&lt;&gt;LEFT(PROD_MostPopularScanner,2)),
LEFT(J87,SEARCH("00",J87)-3),
PROD_MostPopularScanner) &amp; " Install Man"))</f>
        <v>☐ Scan. Install Man</v>
      </c>
      <c r="F89" s="380" t="s">
        <v>275</v>
      </c>
      <c r="G89" s="307" t="s">
        <v>274</v>
      </c>
      <c r="H89" s="439" t="s">
        <v>250</v>
      </c>
      <c r="I89" s="381"/>
      <c r="J89" s="307" t="str">
        <f ca="1">IF(AND(
INDIRECT(
IF(INT((ROW(D89)-10)/30)+1=1,"DENDRO","")&amp;
IF(INT((ROW(D89)-10)/30)+1=2,"CELL","")&amp;
IF(INT((ROW(D89)-10)/30)+1=3,"RHIZO","")&amp;
IF(INT((ROW(D89)-10)/30)+1=4,"RHIZOTRON","")&amp;
IF(INT((ROW(D89)-10)/30)+1=5,"FOLIA","")&amp;
IF(INT((ROW(D89)-10)/30)+1=6,"SEEDLE","")&amp;
IF(INT((ROW(D89)-10)/30)+1=7,"CAM","")&amp;
IF(INT((ROW(D89)-10)/30)+1=8,"SCANOPY","") &amp; "_ChkB_RemoteUpdate"),
INDIRECT(
IF(INT((ROW(D89)-10)/30)+1=1,"DENDRO","")&amp;
IF(INT((ROW(D89)-10)/30)+1=2,"CELL","")&amp;
IF(INT((ROW(D89)-10)/30)+1=3,"RHIZO","")&amp;
IF(INT((ROW(D89)-10)/30)+1=4,"RHIZOTRON","")&amp;
IF(INT((ROW(D89)-10)/30)+1=5,"FOLIA","")&amp;
IF(INT((ROW(D89)-10)/30)+1=6,"SEEDLE","")&amp;
IF(INT((ROW(D89)-10)/30)+1=7,"CAM","")&amp;
IF(INT((ROW(D89)-10)/30)+1=8,"SCANOPY","") &amp; "_ChkBox_UpgradeUpdate")),
"Clé de bois ou Download. Reprogrammation clé client",
"☐ " &amp; IF(AND(QUOTE_Split_SoftwareHardware,QUOTE_InternetDownload),"Man ds env. ""Documents"", Clé ds bulle collée sur env.","Reliée au Man"))</f>
        <v>☐ Reliée au Man</v>
      </c>
      <c r="K89" s="265"/>
      <c r="L89" s="223"/>
      <c r="M89" s="439"/>
      <c r="N89" s="380"/>
      <c r="O89" s="307"/>
      <c r="P89" s="215"/>
      <c r="Q89" s="215"/>
    </row>
    <row r="90" spans="1:17" ht="16.25" customHeight="1" x14ac:dyDescent="0.2">
      <c r="A90" s="417"/>
      <c r="B90" s="292"/>
      <c r="C90" s="906" t="str">
        <f>IF((RHIZO_N_UpgradeUpdate + RHIZO_N_Software ) = 2,"",LEFT(INDEX(RHIZO_SoftwareFullNames,RHIZO_IndexSoftware),FIND(" ",INDEX(RHIZO_SoftwareFullNames,RHIZO_IndexSoftware),FIND(" ",INDEX(RHIZO_SoftwareFullNames,RHIZO_IndexSoftware))+1)) &amp;
RHIZO_YearMostRecent )</f>
        <v/>
      </c>
      <c r="D90" s="906"/>
      <c r="E90" s="300"/>
      <c r="F90" s="300"/>
      <c r="G90" s="271" t="str">
        <f>IF(RHIZO_OptionXL*(RHIZO_N_Software+RHIZO_N_UpgradeUpdate-2)&gt;=((ROW(G90)-ROW($G$69))/4+1),"XLRHIZO "&amp; RHIZO_YearMostRecent,"")</f>
        <v/>
      </c>
      <c r="H90" s="247"/>
      <c r="I90" s="247"/>
      <c r="J90" s="271" t="str">
        <f>IF(RHIZO_N_System-1&gt;=((ROW(G90)-ROW($G$69))/4+1),IF(RHIZO_IndexScanner=1,"STD4800","LA2400") &amp; " System"&amp; IF(AND(RHIZO_ClientWithOrWithoutScanner=2,RHIZO_N_System&gt;1)," Sans Scanner"," Avec Scanner"),
IF(AND(RHIZO_N_Software&gt;RHIZO_N_System,RHIZO_N_Software-1&gt;=((ROW(G90)-ROW($G$69))/4+1)),IF(N_SystemTotal=0,"Software Only",IF(N_STDScanners+N_LAScanners+N_LCScanners=0,"Software Sans Scanner","Software Avec Scanner")),
IF(RHIZO_N_UpgradeUpdate-1&gt;=((ROW(G90)-ROW($G$69))/4+1)-(MAX(RHIZO_N_System,RHIZO_N_Software)-1),"Update","")))</f>
        <v/>
      </c>
      <c r="K90" s="247"/>
      <c r="L90" s="246"/>
      <c r="M90" s="246"/>
      <c r="N90" s="246"/>
      <c r="O90" s="215"/>
      <c r="P90" s="215"/>
      <c r="Q90" s="215"/>
    </row>
    <row r="91" spans="1:17" ht="24" customHeight="1" x14ac:dyDescent="0.2">
      <c r="A91" s="429" t="s">
        <v>258</v>
      </c>
      <c r="B91" s="287" t="s">
        <v>258</v>
      </c>
      <c r="C91" s="378" t="str">
        <f>IF(AND(QUOTE_Split_SoftwareHardware,QUOTE_InternetDownload),"",
"☐☐ Win" &amp;
IF(INT((ROW(D91)-10)/30)+1=1,"DEN","")&amp;
IF(INT((ROW(D91)-10)/30)+1=2,"CEL","")&amp;
IF(INT((ROW(D91)-10)/30)+1=3,"RHI","")&amp;
IF(INT((ROW(D91)-10)/30)+1=4,"RT","")&amp;
IF(INT((ROW(D91)-10)/30)+1=5,"FOL","")&amp;
IF(INT((ROW(D91)-10)/30)+1=6,"SEE","")&amp;
IF(INT((ROW(D91)-10)/30)+1=7,"CAM","")&amp;
IF(INT((ROW(D91)-10)/30)+1=8,"SCA","") &amp; ".exe")</f>
        <v>☐☐ WinRHI.exe</v>
      </c>
      <c r="D91" s="378" t="str">
        <f>IF(AND(QUOTE_Split_SoftwareHardware,QUOTE_InternetDownload),"",
 IF(N("If it is Cam, Do not Show XL")+AND(ROW(D91)&gt;=189,ROW(D91)&lt;=218),"","☐ XL" &amp;
IF(INT((ROW(D91)-10)/30)+1=1,"STEM","")&amp;
IF(INT((ROW(D91)-10)/30)+1=2,"Cell","")&amp;
IF(INT((ROW(D91)-10)/30)+1=3,"Rhizo","")&amp;
IF(INT((ROW(D91)-10)/30)+1=4,"RhizoT","")&amp;
IF(INT((ROW(D91)-10)/30)+1=5,"Folia","")&amp;
IF(INT((ROW(D91)-10)/30)+1=6,"Seedle","")&amp;
IF(INT((ROW(D91)-10)/30)+1=7,"Cam","")&amp;
IF(INT((ROW(D91)-10)/30)+1=8,"Scanopy","") &amp; ".xls"))</f>
        <v>☐ XLRhizo.xls</v>
      </c>
      <c r="E91" s="378" t="s">
        <v>299</v>
      </c>
      <c r="F91" s="379" t="s">
        <v>152</v>
      </c>
      <c r="G91" s="378" t="str">
        <f xml:space="preserve"> IF(N("If it is Cam, Do not Show XL")+AND(ROW(G91)&gt;=189,ROW(G91)&lt;=218),"","☐ XL Man")</f>
        <v>☐ XL Man</v>
      </c>
      <c r="H91" s="379" t="s">
        <v>280</v>
      </c>
      <c r="I91" s="307" t="s">
        <v>274</v>
      </c>
      <c r="J91" s="379" t="str">
        <f>IF(N("Si OR dessous = vrai, pas de box")+OR(
N("1 OR Tron ou CELL")+OR(AND(ROW(E91)&gt;=39,ROW(E91)&lt;=68),AND(ROW(E91)&gt;=99,ROW(E91)&lt;=128)),
N("2 Pas de système scanopy and range opy")+AND(ROW(E91)&gt;=219,ROW(E91)&lt;=248,SCANOPY_N_System&lt;2),
N("3 Avec LC") + IF(AND(IF(PROD_MostPopularScanner="LC",1,0), NOT(AND(ROW(E91)&gt;=129,ROW(E91)&lt;=158)), NOT(AND(ROW(E91)&gt;=189,ROW(E91)&lt;=218))),1,0)
),"","☐ ")
&amp;
IF(N("If it's OPY, put OMount Manual instead")+
AND(ROW(D91)&gt;=219,ROW(D91)&lt;=248),
IF(SCANOPY_N_System&gt;1,
IF(SCANOPY_IndexScanner=1,"α" &amp; SCANOPY_CameraModel,SCANOPY_CameraModel_Mini) &amp; " Man",""),
IF(N("Empty si OR = true . . .If it is Cell or Tron, Do not Show Scanner related items + Hide if LC is favorite on unavailable product")+OR(
AND(ROW(E91)&gt;=39,ROW(E91)&lt;=68),
AND(ROW(E91)&gt;=99,ROW(E91)&lt;=128),
AND(IF(PROD_MostPopularScanner="LC",1,0), NOT(AND(ROW(E91)&gt;=129,ROW(E91)&lt;=158)), NOT(AND(ROW(E91)&gt;=189,ROW(E91)&lt;=218))),
0=1),
    "", IF(1=N("Si système a un scanner différent du Scanner populaire alors différent, sinon Scanner populaire")+AND(NOT(ISERROR(SEARCH("System",J90))),LEFT(J90,2)&lt;&gt;LEFT(PROD_MostPopularScanner,2)),
LEFT(J90,SEARCH("00",J90)-3),
PROD_MostPopularScanner) &amp; " Install Man"))</f>
        <v>☐ Scan. Install Man</v>
      </c>
      <c r="K91" s="378" t="str">
        <f>IF(N("If it is Cell or Tron or OPY, Do not Show Twain")+OR(AND(ROW(K91)&gt;=39,ROW(K91)&lt;=68),AND(ROW(K91)&gt;=99,ROW(K91)&lt;=128),AND(ROW(J91)&gt;=219,ROW(J91)&lt;=248)),"","☐ TWAIN")</f>
        <v>☐ TWAIN</v>
      </c>
      <c r="L91" s="379" t="str">
        <f>IF(AND(IF(PROD_MostPopularScanner="LC",1,0), NOT(AND(ROW(E91)&gt;=129,ROW(E91)&lt;=158)), NOT(AND(ROW(E91)&gt;=189,ROW(E91)&lt;=218))),"",
IF(N("Si OR dessous = vrai, pas de box")+OR(
N("1 OR Dendro+CELL, Tron+Folia,Cam")+OR(
AND(ROW(K91)&gt;=9,ROW(K91)&lt;=68),
AND(ROW(K91)&gt;=99,ROW(K91)&lt;=158),
AND(ROW(K91)&gt;=189,ROW(K91)&lt;=218)),
N("2 Pas de système scanopy and range opy")+AND(ROW(K91)&gt;=219,ROW(K91)&lt;=248,SCANOPY_N_System&lt;2),
N("3 Avec LC")&amp;IF(ISERROR(LEFT(J90,SEARCH("00",J90)-3)),"",LEFT(J90,SEARCH("00",J90)-3))="LC"),"","☐ ")
&amp;
IF(N("If it's OPY, put OMount Manual instead")+
AND(ROW(J91)&gt;=219,ROW(J91)&lt;=248),
IF(SCANOPY_N_System&gt;1,"OMount Man",""),
IF(N("If it is Dendro+CELL, Tron+Folia or Cam, Do not Show Scanner related items+No Video if LC")+OR(
AND(ROW(K91)&gt;=9,ROW(K91)&lt;=68),
AND(ROW(K91)&gt;=99,ROW(K91)&lt;=158),
AND(ROW(K91)&gt;=189,ROW(K91)&lt;=218),
IF(ISERROR(LEFT(J90,SEARCH("00",J90)-3)),"",LEFT(J90,SEARCH("00",J90)-3))="LC"),
    "", "Video " &amp; IF(1=N("Si système a un scanner différent du Scanner populaire alors différent, sinon Scanner populaire")+AND(NOT(ISERROR(SEARCH("System",J90))),LEFT(J90,2)&lt;&gt;LEFT(PROD_MostPopularScanner,2)),
LEFT(J90,SEARCH("00",J90)-3),
PROD_MostPopularScanner) &amp; " Install"))
)</f>
        <v>☐ Video Scan. Install</v>
      </c>
      <c r="M91" s="378" t="str">
        <f>IF(N("If it is Dendro or Tron, Do not Show Color Analysis Video")+
OR(AND(ROW(L91)&gt;=9,ROW(L91)&lt;=38),
AND(ROW(L91)&gt;=99,ROW(L91)&lt;=128)), "","☐ Video ClrAna")</f>
        <v>☐ Video ClrAna</v>
      </c>
      <c r="N91" s="379" t="str">
        <f>IF(OR(INT((ROW(D91)-10)/30)+1=2,INT((ROW(D91)-10)/30)+1=4),"","☐ ")&amp;
IF(INT((ROW(D91)-10)/30)+1=1,"Scanner.cal","")&amp;
IF(INT((ROW(D91)-10)/30)+1=2,"","")&amp;
IF(INT((ROW(D91)-10)/30)+1=3,"Scanner.cal","")&amp;
IF(INT((ROW(D91)-10)/30)+1=4,"","")&amp;
IF(INT((ROW(D91)-10)/30)+1=5,"Scanner.cal","")&amp;
IF(INT((ROW(D91)-10)/30)+1=6,"Scanner.cal","")&amp;
IF(INT((ROW(D91)-10)/30)+1=7,"Scanner.cal","")&amp;
IF(INT((ROW(D91)-10)/30)+1=8,"Indiv" &amp; " Lens.cal","")</f>
        <v>☐ Scanner.cal</v>
      </c>
      <c r="O91" s="307" t="str">
        <f>IF(AND(ROW(L91)&gt;=9,ROW(L91)&lt;=38),"☐ RegentTarget.blu","")</f>
        <v/>
      </c>
      <c r="P91" s="215"/>
      <c r="Q91" s="215"/>
    </row>
    <row r="92" spans="1:17" ht="24" customHeight="1" x14ac:dyDescent="0.2">
      <c r="A92" s="429" t="s">
        <v>259</v>
      </c>
      <c r="B92" s="224" t="s">
        <v>259</v>
      </c>
      <c r="C92" s="307" t="s">
        <v>152</v>
      </c>
      <c r="D92" s="307" t="str">
        <f xml:space="preserve"> IF(N("If it is Cam, Do not Show XL")+AND(ROW(D92)&gt;=189,ROW(D92)&lt;=218),"","☐ XL Man")</f>
        <v>☐ XL Man</v>
      </c>
      <c r="E92" s="437" t="str">
        <f>IF(N("Si OR dessous = vrai, pas de box")+OR(
N("1 OR Tron ou CELL")+OR(AND(ROW(K91)&gt;=39,ROW(K91)&lt;=68),AND(ROW(K91)&gt;=99,ROW(K91)&lt;=128)),
N("2 Pas de système scanopy and range opy")+AND(ROW(K91)&gt;=219,ROW(K91)&lt;=248,SCANOPY_N_System&lt;2),
N("3 Avec LC")&amp;IF(ISERROR(LEFT(J90,SEARCH("00",J90)-3)),"",LEFT(J90,SEARCH("00",J90)-3))="LC"),"","☐ ")
&amp;
IF(N("If it's OPY, put OMount Manual instead")+
AND(ROW(J91)&gt;=219,ROW(J91)&lt;=248),
IF(SCANOPY_N_System&gt;1,"OMount Man",""),
IF(N("If it is Cell or Tron, Do not Show Scanner related items")+OR(
AND(ROW(K91)&gt;=39,ROW(K91)&lt;=68),
AND(ROW(K91)&gt;=99,ROW(K91)&lt;=128)),
    "", IF(1=N("Si système a un scanner différent du Scanner populaire alors différent, sinon Scanner populaire")+AND(NOT(ISERROR(SEARCH("System",J90))),LEFT(J90,2)&lt;&gt;LEFT(PROD_MostPopularScanner,2)),
LEFT(J90,SEARCH("00",J90)-3),
PROD_MostPopularScanner) &amp; " Install Man"))</f>
        <v>☐ Scan. Install Man</v>
      </c>
      <c r="F92" s="380" t="s">
        <v>275</v>
      </c>
      <c r="G92" s="307" t="s">
        <v>274</v>
      </c>
      <c r="H92" s="439" t="s">
        <v>250</v>
      </c>
      <c r="I92" s="381"/>
      <c r="J92" s="307" t="str">
        <f ca="1">IF(AND(
INDIRECT(
IF(INT((ROW(D92)-10)/30)+1=1,"DENDRO","")&amp;
IF(INT((ROW(D92)-10)/30)+1=2,"CELL","")&amp;
IF(INT((ROW(D92)-10)/30)+1=3,"RHIZO","")&amp;
IF(INT((ROW(D92)-10)/30)+1=4,"RHIZOTRON","")&amp;
IF(INT((ROW(D92)-10)/30)+1=5,"FOLIA","")&amp;
IF(INT((ROW(D92)-10)/30)+1=6,"SEEDLE","")&amp;
IF(INT((ROW(D92)-10)/30)+1=7,"CAM","")&amp;
IF(INT((ROW(D92)-10)/30)+1=8,"SCANOPY","") &amp; "_ChkB_RemoteUpdate"),
INDIRECT(
IF(INT((ROW(D92)-10)/30)+1=1,"DENDRO","")&amp;
IF(INT((ROW(D92)-10)/30)+1=2,"CELL","")&amp;
IF(INT((ROW(D92)-10)/30)+1=3,"RHIZO","")&amp;
IF(INT((ROW(D92)-10)/30)+1=4,"RHIZOTRON","")&amp;
IF(INT((ROW(D92)-10)/30)+1=5,"FOLIA","")&amp;
IF(INT((ROW(D92)-10)/30)+1=6,"SEEDLE","")&amp;
IF(INT((ROW(D92)-10)/30)+1=7,"CAM","")&amp;
IF(INT((ROW(D92)-10)/30)+1=8,"SCANOPY","") &amp; "_ChkBox_UpgradeUpdate")),
"Clé de bois ou Download. Reprogrammation clé client",
"☐ " &amp; IF(AND(QUOTE_Split_SoftwareHardware,QUOTE_InternetDownload),"Man ds env. ""Documents"", Clé ds bulle collée sur env.","Reliée au Man"))</f>
        <v>☐ Reliée au Man</v>
      </c>
      <c r="K92" s="265"/>
      <c r="L92" s="223"/>
      <c r="M92" s="439"/>
      <c r="N92" s="380"/>
      <c r="O92" s="307"/>
      <c r="P92" s="215"/>
      <c r="Q92" s="215"/>
    </row>
    <row r="93" spans="1:17" ht="16.25" customHeight="1" x14ac:dyDescent="0.2">
      <c r="A93" s="417"/>
      <c r="B93" s="292"/>
      <c r="C93" s="906" t="str">
        <f>IF((RHIZO_N_UpgradeUpdate + RHIZO_N_Software ) = 2,"",LEFT(INDEX(RHIZO_SoftwareFullNames,RHIZO_IndexSoftware),FIND(" ",INDEX(RHIZO_SoftwareFullNames,RHIZO_IndexSoftware),FIND(" ",INDEX(RHIZO_SoftwareFullNames,RHIZO_IndexSoftware))+1)) &amp;
RHIZO_YearMostRecent )</f>
        <v/>
      </c>
      <c r="D93" s="906"/>
      <c r="E93" s="300"/>
      <c r="F93" s="300"/>
      <c r="G93" s="271" t="str">
        <f>IF(RHIZO_OptionXL*(RHIZO_N_Software+RHIZO_N_UpgradeUpdate-2)&gt;=((ROW(G93)-ROW($G$69))/4+1),"XLRHIZO "&amp; RHIZO_YearMostRecent,"")</f>
        <v/>
      </c>
      <c r="H93" s="247"/>
      <c r="I93" s="247"/>
      <c r="J93" s="271" t="str">
        <f>IF(RHIZO_N_System-1&gt;=((ROW(G93)-ROW($G$69))/4+1),IF(RHIZO_IndexScanner=1,"STD4800","LA2400") &amp; " System"&amp; IF(AND(RHIZO_ClientWithOrWithoutScanner=2,RHIZO_N_System&gt;1)," Sans Scanner"," Avec Scanner"),
IF(AND(RHIZO_N_Software&gt;RHIZO_N_System,RHIZO_N_Software-1&gt;=((ROW(G93)-ROW($G$69))/4+1)),IF(N_SystemTotal=0,"Software Only",IF(N_STDScanners+N_LAScanners+N_LCScanners=0,"Software Sans Scanner","Software Avec Scanner")),
IF(RHIZO_N_UpgradeUpdate-1&gt;=((ROW(G93)-ROW($G$69))/4+1)-(MAX(RHIZO_N_System,RHIZO_N_Software)-1),"Update","")))</f>
        <v/>
      </c>
      <c r="K93" s="247"/>
      <c r="L93" s="246"/>
      <c r="M93" s="246"/>
      <c r="N93" s="246"/>
      <c r="O93" s="215"/>
      <c r="P93" s="215"/>
      <c r="Q93" s="215"/>
    </row>
    <row r="94" spans="1:17" ht="24" customHeight="1" x14ac:dyDescent="0.2">
      <c r="A94" s="429" t="s">
        <v>258</v>
      </c>
      <c r="B94" s="287" t="s">
        <v>258</v>
      </c>
      <c r="C94" s="378" t="str">
        <f>IF(AND(QUOTE_Split_SoftwareHardware,QUOTE_InternetDownload),"",
"☐☐ Win" &amp;
IF(INT((ROW(D94)-10)/30)+1=1,"DEN","")&amp;
IF(INT((ROW(D94)-10)/30)+1=2,"CEL","")&amp;
IF(INT((ROW(D94)-10)/30)+1=3,"RHI","")&amp;
IF(INT((ROW(D94)-10)/30)+1=4,"RT","")&amp;
IF(INT((ROW(D94)-10)/30)+1=5,"FOL","")&amp;
IF(INT((ROW(D94)-10)/30)+1=6,"SEE","")&amp;
IF(INT((ROW(D94)-10)/30)+1=7,"CAM","")&amp;
IF(INT((ROW(D94)-10)/30)+1=8,"SCA","") &amp; ".exe")</f>
        <v>☐☐ WinRHI.exe</v>
      </c>
      <c r="D94" s="378" t="str">
        <f>IF(AND(QUOTE_Split_SoftwareHardware,QUOTE_InternetDownload),"",
 IF(N("If it is Cam, Do not Show XL")+AND(ROW(D94)&gt;=189,ROW(D94)&lt;=218),"","☐ XL" &amp;
IF(INT((ROW(D94)-10)/30)+1=1,"STEM","")&amp;
IF(INT((ROW(D94)-10)/30)+1=2,"Cell","")&amp;
IF(INT((ROW(D94)-10)/30)+1=3,"Rhizo","")&amp;
IF(INT((ROW(D94)-10)/30)+1=4,"RhizoT","")&amp;
IF(INT((ROW(D94)-10)/30)+1=5,"Folia","")&amp;
IF(INT((ROW(D94)-10)/30)+1=6,"Seedle","")&amp;
IF(INT((ROW(D94)-10)/30)+1=7,"Cam","")&amp;
IF(INT((ROW(D94)-10)/30)+1=8,"Scanopy","") &amp; ".xls"))</f>
        <v>☐ XLRhizo.xls</v>
      </c>
      <c r="E94" s="378" t="s">
        <v>299</v>
      </c>
      <c r="F94" s="379" t="s">
        <v>152</v>
      </c>
      <c r="G94" s="378" t="str">
        <f xml:space="preserve"> IF(N("If it is Cam, Do not Show XL")+AND(ROW(G94)&gt;=189,ROW(G94)&lt;=218),"","☐ XL Man")</f>
        <v>☐ XL Man</v>
      </c>
      <c r="H94" s="379" t="s">
        <v>280</v>
      </c>
      <c r="I94" s="307" t="s">
        <v>274</v>
      </c>
      <c r="J94" s="379" t="str">
        <f>IF(N("Si OR dessous = vrai, pas de box")+OR(
N("1 OR Tron ou CELL")+OR(AND(ROW(E94)&gt;=39,ROW(E94)&lt;=68),AND(ROW(E94)&gt;=99,ROW(E94)&lt;=128)),
N("2 Pas de système scanopy and range opy")+AND(ROW(E94)&gt;=219,ROW(E94)&lt;=248,SCANOPY_N_System&lt;2),
N("3 Avec LC") + IF(AND(IF(PROD_MostPopularScanner="LC",1,0), NOT(AND(ROW(E94)&gt;=129,ROW(E94)&lt;=158)), NOT(AND(ROW(E94)&gt;=189,ROW(E94)&lt;=218))),1,0)
),"","☐ ")
&amp;
IF(N("If it's OPY, put OMount Manual instead")+
AND(ROW(D94)&gt;=219,ROW(D94)&lt;=248),
IF(SCANOPY_N_System&gt;1,
IF(SCANOPY_IndexScanner=1,"α" &amp; SCANOPY_CameraModel,SCANOPY_CameraModel_Mini) &amp; " Man",""),
IF(N("Empty si OR = true . . .If it is Cell or Tron, Do not Show Scanner related items + Hide if LC is favorite on unavailable product")+OR(
AND(ROW(E94)&gt;=39,ROW(E94)&lt;=68),
AND(ROW(E94)&gt;=99,ROW(E94)&lt;=128),
AND(IF(PROD_MostPopularScanner="LC",1,0), NOT(AND(ROW(E94)&gt;=129,ROW(E94)&lt;=158)), NOT(AND(ROW(E94)&gt;=189,ROW(E94)&lt;=218))),
0=1),
    "", IF(1=N("Si système a un scanner différent du Scanner populaire alors différent, sinon Scanner populaire")+AND(NOT(ISERROR(SEARCH("System",J93))),LEFT(J93,2)&lt;&gt;LEFT(PROD_MostPopularScanner,2)),
LEFT(J93,SEARCH("00",J93)-3),
PROD_MostPopularScanner) &amp; " Install Man"))</f>
        <v>☐ Scan. Install Man</v>
      </c>
      <c r="K94" s="378" t="str">
        <f>IF(N("If it is Cell or Tron or OPY, Do not Show Twain")+OR(AND(ROW(K94)&gt;=39,ROW(K94)&lt;=68),AND(ROW(K94)&gt;=99,ROW(K94)&lt;=128),AND(ROW(J94)&gt;=219,ROW(J94)&lt;=248)),"","☐ TWAIN")</f>
        <v>☐ TWAIN</v>
      </c>
      <c r="L94" s="379" t="str">
        <f>IF(AND(IF(PROD_MostPopularScanner="LC",1,0), NOT(AND(ROW(E94)&gt;=129,ROW(E94)&lt;=158)), NOT(AND(ROW(E94)&gt;=189,ROW(E94)&lt;=218))),"",
IF(N("Si OR dessous = vrai, pas de box")+OR(
N("1 OR Dendro+CELL, Tron+Folia,Cam")+OR(
AND(ROW(K94)&gt;=9,ROW(K94)&lt;=68),
AND(ROW(K94)&gt;=99,ROW(K94)&lt;=158),
AND(ROW(K94)&gt;=189,ROW(K94)&lt;=218)),
N("2 Pas de système scanopy and range opy")+AND(ROW(K94)&gt;=219,ROW(K94)&lt;=248,SCANOPY_N_System&lt;2),
N("3 Avec LC")&amp;IF(ISERROR(LEFT(J93,SEARCH("00",J93)-3)),"",LEFT(J93,SEARCH("00",J93)-3))="LC"),"","☐ ")
&amp;
IF(N("If it's OPY, put OMount Manual instead")+
AND(ROW(J94)&gt;=219,ROW(J94)&lt;=248),
IF(SCANOPY_N_System&gt;1,"OMount Man",""),
IF(N("If it is Dendro+CELL, Tron+Folia or Cam, Do not Show Scanner related items+No Video if LC")+OR(
AND(ROW(K94)&gt;=9,ROW(K94)&lt;=68),
AND(ROW(K94)&gt;=99,ROW(K94)&lt;=158),
AND(ROW(K94)&gt;=189,ROW(K94)&lt;=218),
IF(ISERROR(LEFT(J93,SEARCH("00",J93)-3)),"",LEFT(J93,SEARCH("00",J93)-3))="LC"),
    "", "Video " &amp; IF(1=N("Si système a un scanner différent du Scanner populaire alors différent, sinon Scanner populaire")+AND(NOT(ISERROR(SEARCH("System",J93))),LEFT(J93,2)&lt;&gt;LEFT(PROD_MostPopularScanner,2)),
LEFT(J93,SEARCH("00",J93)-3),
PROD_MostPopularScanner) &amp; " Install"))
)</f>
        <v>☐ Video Scan. Install</v>
      </c>
      <c r="M94" s="378" t="str">
        <f>IF(N("If it is Dendro or Tron, Do not Show Color Analysis Video")+
OR(AND(ROW(L94)&gt;=9,ROW(L94)&lt;=38),
AND(ROW(L94)&gt;=99,ROW(L94)&lt;=128)), "","☐ Video ClrAna")</f>
        <v>☐ Video ClrAna</v>
      </c>
      <c r="N94" s="379" t="str">
        <f>IF(OR(INT((ROW(D94)-10)/30)+1=2,INT((ROW(D94)-10)/30)+1=4),"","☐ ")&amp;
IF(INT((ROW(D94)-10)/30)+1=1,"Scanner.cal","")&amp;
IF(INT((ROW(D94)-10)/30)+1=2,"","")&amp;
IF(INT((ROW(D94)-10)/30)+1=3,"Scanner.cal","")&amp;
IF(INT((ROW(D94)-10)/30)+1=4,"","")&amp;
IF(INT((ROW(D94)-10)/30)+1=5,"Scanner.cal","")&amp;
IF(INT((ROW(D94)-10)/30)+1=6,"Scanner.cal","")&amp;
IF(INT((ROW(D94)-10)/30)+1=7,"Scanner.cal","")&amp;
IF(INT((ROW(D94)-10)/30)+1=8,"Indiv" &amp; " Lens.cal","")</f>
        <v>☐ Scanner.cal</v>
      </c>
      <c r="O94" s="307" t="str">
        <f>IF(AND(ROW(L94)&gt;=9,ROW(L94)&lt;=38),"☐ RegentTarget.blu","")</f>
        <v/>
      </c>
      <c r="P94" s="215"/>
      <c r="Q94" s="215"/>
    </row>
    <row r="95" spans="1:17" ht="24" customHeight="1" x14ac:dyDescent="0.2">
      <c r="A95" s="429" t="s">
        <v>259</v>
      </c>
      <c r="B95" s="224" t="s">
        <v>259</v>
      </c>
      <c r="C95" s="307" t="s">
        <v>152</v>
      </c>
      <c r="D95" s="307" t="str">
        <f xml:space="preserve"> IF(N("If it is Cam, Do not Show XL")+AND(ROW(D95)&gt;=189,ROW(D95)&lt;=218),"","☐ XL Man")</f>
        <v>☐ XL Man</v>
      </c>
      <c r="E95" s="437" t="str">
        <f>IF(N("Si OR dessous = vrai, pas de box")+OR(
N("1 OR Tron ou CELL")+OR(AND(ROW(K94)&gt;=39,ROW(K94)&lt;=68),AND(ROW(K94)&gt;=99,ROW(K94)&lt;=128)),
N("2 Pas de système scanopy and range opy")+AND(ROW(K94)&gt;=219,ROW(K94)&lt;=248,SCANOPY_N_System&lt;2),
N("3 Avec LC")&amp;IF(ISERROR(LEFT(J93,SEARCH("00",J93)-3)),"",LEFT(J93,SEARCH("00",J93)-3))="LC"),"","☐ ")
&amp;
IF(N("If it's OPY, put OMount Manual instead")+
AND(ROW(J94)&gt;=219,ROW(J94)&lt;=248),
IF(SCANOPY_N_System&gt;1,"OMount Man",""),
IF(N("If it is Cell or Tron, Do not Show Scanner related items")+OR(
AND(ROW(K94)&gt;=39,ROW(K94)&lt;=68),
AND(ROW(K94)&gt;=99,ROW(K94)&lt;=128)),
    "", IF(1=N("Si système a un scanner différent du Scanner populaire alors différent, sinon Scanner populaire")+AND(NOT(ISERROR(SEARCH("System",J93))),LEFT(J93,2)&lt;&gt;LEFT(PROD_MostPopularScanner,2)),
LEFT(J93,SEARCH("00",J93)-3),
PROD_MostPopularScanner) &amp; " Install Man"))</f>
        <v>☐ Scan. Install Man</v>
      </c>
      <c r="F95" s="380" t="s">
        <v>275</v>
      </c>
      <c r="G95" s="307" t="s">
        <v>274</v>
      </c>
      <c r="H95" s="439" t="s">
        <v>250</v>
      </c>
      <c r="I95" s="381"/>
      <c r="J95" s="307" t="str">
        <f ca="1">IF(AND(
INDIRECT(
IF(INT((ROW(D95)-10)/30)+1=1,"DENDRO","")&amp;
IF(INT((ROW(D95)-10)/30)+1=2,"CELL","")&amp;
IF(INT((ROW(D95)-10)/30)+1=3,"RHIZO","")&amp;
IF(INT((ROW(D95)-10)/30)+1=4,"RHIZOTRON","")&amp;
IF(INT((ROW(D95)-10)/30)+1=5,"FOLIA","")&amp;
IF(INT((ROW(D95)-10)/30)+1=6,"SEEDLE","")&amp;
IF(INT((ROW(D95)-10)/30)+1=7,"CAM","")&amp;
IF(INT((ROW(D95)-10)/30)+1=8,"SCANOPY","") &amp; "_ChkB_RemoteUpdate"),
INDIRECT(
IF(INT((ROW(D95)-10)/30)+1=1,"DENDRO","")&amp;
IF(INT((ROW(D95)-10)/30)+1=2,"CELL","")&amp;
IF(INT((ROW(D95)-10)/30)+1=3,"RHIZO","")&amp;
IF(INT((ROW(D95)-10)/30)+1=4,"RHIZOTRON","")&amp;
IF(INT((ROW(D95)-10)/30)+1=5,"FOLIA","")&amp;
IF(INT((ROW(D95)-10)/30)+1=6,"SEEDLE","")&amp;
IF(INT((ROW(D95)-10)/30)+1=7,"CAM","")&amp;
IF(INT((ROW(D95)-10)/30)+1=8,"SCANOPY","") &amp; "_ChkBox_UpgradeUpdate")),
"Clé de bois ou Download. Reprogrammation clé client",
"☐ " &amp; IF(AND(QUOTE_Split_SoftwareHardware,QUOTE_InternetDownload),"Man ds env. ""Documents"", Clé ds bulle collée sur env.","Reliée au Man"))</f>
        <v>☐ Reliée au Man</v>
      </c>
      <c r="K95" s="265"/>
      <c r="L95" s="223"/>
      <c r="M95" s="439"/>
      <c r="N95" s="380"/>
      <c r="O95" s="307"/>
      <c r="P95" s="215"/>
      <c r="Q95" s="215"/>
    </row>
    <row r="96" spans="1:17" ht="16.25" customHeight="1" x14ac:dyDescent="0.2">
      <c r="A96" s="417"/>
      <c r="B96" s="292"/>
      <c r="C96" s="906" t="str">
        <f>IF((RHIZO_N_UpgradeUpdate + RHIZO_N_Software ) = 2,"",LEFT(INDEX(RHIZO_SoftwareFullNames,RHIZO_IndexSoftware),FIND(" ",INDEX(RHIZO_SoftwareFullNames,RHIZO_IndexSoftware),FIND(" ",INDEX(RHIZO_SoftwareFullNames,RHIZO_IndexSoftware))+1)) &amp;
RHIZO_YearMostRecent )</f>
        <v/>
      </c>
      <c r="D96" s="906"/>
      <c r="E96" s="300"/>
      <c r="F96" s="300"/>
      <c r="G96" s="271" t="str">
        <f>IF(RHIZO_OptionXL*(RHIZO_N_Software+RHIZO_N_UpgradeUpdate-2)&gt;=((ROW(G96)-ROW($G$69))/4+1),"XLRHIZO "&amp; RHIZO_YearMostRecent,"")</f>
        <v/>
      </c>
      <c r="H96" s="247"/>
      <c r="I96" s="247"/>
      <c r="J96" s="271" t="str">
        <f>IF(RHIZO_N_System-1&gt;=((ROW(G96)-ROW($G$69))/4+1),IF(RHIZO_IndexScanner=1,"STD4800","LA2400") &amp; " System"&amp; IF(AND(RHIZO_ClientWithOrWithoutScanner=2,RHIZO_N_System&gt;1)," Sans Scanner"," Avec Scanner"),
IF(AND(RHIZO_N_Software&gt;RHIZO_N_System,RHIZO_N_Software-1&gt;=((ROW(G96)-ROW($G$69))/4+1)),IF(N_SystemTotal=0,"Software Only",IF(N_STDScanners+N_LAScanners+N_LCScanners=0,"Software Sans Scanner","Software Avec Scanner")),
IF(RHIZO_N_UpgradeUpdate-1&gt;=((ROW(G96)-ROW($G$69))/4+1)-(MAX(RHIZO_N_System,RHIZO_N_Software)-1),"Update","")))</f>
        <v/>
      </c>
      <c r="K96" s="247"/>
      <c r="L96" s="246"/>
      <c r="M96" s="246"/>
      <c r="N96" s="246"/>
      <c r="O96" s="215"/>
      <c r="P96" s="215"/>
      <c r="Q96" s="215"/>
    </row>
    <row r="97" spans="1:17" ht="24" customHeight="1" x14ac:dyDescent="0.2">
      <c r="A97" s="429" t="s">
        <v>258</v>
      </c>
      <c r="B97" s="287" t="s">
        <v>258</v>
      </c>
      <c r="C97" s="378" t="str">
        <f>IF(AND(QUOTE_Split_SoftwareHardware,QUOTE_InternetDownload),"",
"☐☐ Win" &amp;
IF(INT((ROW(D97)-10)/30)+1=1,"DEN","")&amp;
IF(INT((ROW(D97)-10)/30)+1=2,"CEL","")&amp;
IF(INT((ROW(D97)-10)/30)+1=3,"RHI","")&amp;
IF(INT((ROW(D97)-10)/30)+1=4,"RT","")&amp;
IF(INT((ROW(D97)-10)/30)+1=5,"FOL","")&amp;
IF(INT((ROW(D97)-10)/30)+1=6,"SEE","")&amp;
IF(INT((ROW(D97)-10)/30)+1=7,"CAM","")&amp;
IF(INT((ROW(D97)-10)/30)+1=8,"SCA","") &amp; ".exe")</f>
        <v>☐☐ WinRHI.exe</v>
      </c>
      <c r="D97" s="378" t="str">
        <f>IF(AND(QUOTE_Split_SoftwareHardware,QUOTE_InternetDownload),"",
 IF(N("If it is Cam, Do not Show XL")+AND(ROW(D97)&gt;=189,ROW(D97)&lt;=218),"","☐ XL" &amp;
IF(INT((ROW(D97)-10)/30)+1=1,"STEM","")&amp;
IF(INT((ROW(D97)-10)/30)+1=2,"Cell","")&amp;
IF(INT((ROW(D97)-10)/30)+1=3,"Rhizo","")&amp;
IF(INT((ROW(D97)-10)/30)+1=4,"RhizoT","")&amp;
IF(INT((ROW(D97)-10)/30)+1=5,"Folia","")&amp;
IF(INT((ROW(D97)-10)/30)+1=6,"Seedle","")&amp;
IF(INT((ROW(D97)-10)/30)+1=7,"Cam","")&amp;
IF(INT((ROW(D97)-10)/30)+1=8,"Scanopy","") &amp; ".xls"))</f>
        <v>☐ XLRhizo.xls</v>
      </c>
      <c r="E97" s="378" t="s">
        <v>299</v>
      </c>
      <c r="F97" s="379" t="s">
        <v>152</v>
      </c>
      <c r="G97" s="378" t="str">
        <f xml:space="preserve"> IF(N("If it is Cam, Do not Show XL")+AND(ROW(G97)&gt;=189,ROW(G97)&lt;=218),"","☐ XL Man")</f>
        <v>☐ XL Man</v>
      </c>
      <c r="H97" s="379" t="s">
        <v>280</v>
      </c>
      <c r="I97" s="307" t="s">
        <v>274</v>
      </c>
      <c r="J97" s="379" t="str">
        <f>IF(N("Si OR dessous = vrai, pas de box")+OR(
N("1 OR Tron ou CELL")+OR(AND(ROW(E97)&gt;=39,ROW(E97)&lt;=68),AND(ROW(E97)&gt;=99,ROW(E97)&lt;=128)),
N("2 Pas de système scanopy and range opy")+AND(ROW(E97)&gt;=219,ROW(E97)&lt;=248,SCANOPY_N_System&lt;2),
N("3 Avec LC") + IF(AND(IF(PROD_MostPopularScanner="LC",1,0), NOT(AND(ROW(E97)&gt;=129,ROW(E97)&lt;=158)), NOT(AND(ROW(E97)&gt;=189,ROW(E97)&lt;=218))),1,0)
),"","☐ ")
&amp;
IF(N("If it's OPY, put OMount Manual instead")+
AND(ROW(D97)&gt;=219,ROW(D97)&lt;=248),
IF(SCANOPY_N_System&gt;1,
IF(SCANOPY_IndexScanner=1,"α" &amp; SCANOPY_CameraModel,SCANOPY_CameraModel_Mini) &amp; " Man",""),
IF(N("Empty si OR = true . . .If it is Cell or Tron, Do not Show Scanner related items + Hide if LC is favorite on unavailable product")+OR(
AND(ROW(E97)&gt;=39,ROW(E97)&lt;=68),
AND(ROW(E97)&gt;=99,ROW(E97)&lt;=128),
AND(IF(PROD_MostPopularScanner="LC",1,0), NOT(AND(ROW(E97)&gt;=129,ROW(E97)&lt;=158)), NOT(AND(ROW(E97)&gt;=189,ROW(E97)&lt;=218))),
0=1),
    "", IF(1=N("Si système a un scanner différent du Scanner populaire alors différent, sinon Scanner populaire")+AND(NOT(ISERROR(SEARCH("System",J96))),LEFT(J96,2)&lt;&gt;LEFT(PROD_MostPopularScanner,2)),
LEFT(J96,SEARCH("00",J96)-3),
PROD_MostPopularScanner) &amp; " Install Man"))</f>
        <v>☐ Scan. Install Man</v>
      </c>
      <c r="K97" s="378" t="str">
        <f>IF(N("If it is Cell or Tron or OPY, Do not Show Twain")+OR(AND(ROW(K97)&gt;=39,ROW(K97)&lt;=68),AND(ROW(K97)&gt;=99,ROW(K97)&lt;=128),AND(ROW(J97)&gt;=219,ROW(J97)&lt;=248)),"","☐ TWAIN")</f>
        <v>☐ TWAIN</v>
      </c>
      <c r="L97" s="379" t="str">
        <f>IF(AND(IF(PROD_MostPopularScanner="LC",1,0), NOT(AND(ROW(E97)&gt;=129,ROW(E97)&lt;=158)), NOT(AND(ROW(E97)&gt;=189,ROW(E97)&lt;=218))),"",
IF(N("Si OR dessous = vrai, pas de box")+OR(
N("1 OR Dendro+CELL, Tron+Folia,Cam")+OR(
AND(ROW(K97)&gt;=9,ROW(K97)&lt;=68),
AND(ROW(K97)&gt;=99,ROW(K97)&lt;=158),
AND(ROW(K97)&gt;=189,ROW(K97)&lt;=218)),
N("2 Pas de système scanopy and range opy")+AND(ROW(K97)&gt;=219,ROW(K97)&lt;=248,SCANOPY_N_System&lt;2),
N("3 Avec LC")&amp;IF(ISERROR(LEFT(J96,SEARCH("00",J96)-3)),"",LEFT(J96,SEARCH("00",J96)-3))="LC"),"","☐ ")
&amp;
IF(N("If it's OPY, put OMount Manual instead")+
AND(ROW(J97)&gt;=219,ROW(J97)&lt;=248),
IF(SCANOPY_N_System&gt;1,"OMount Man",""),
IF(N("If it is Dendro+CELL, Tron+Folia or Cam, Do not Show Scanner related items+No Video if LC")+OR(
AND(ROW(K97)&gt;=9,ROW(K97)&lt;=68),
AND(ROW(K97)&gt;=99,ROW(K97)&lt;=158),
AND(ROW(K97)&gt;=189,ROW(K97)&lt;=218),
IF(ISERROR(LEFT(J96,SEARCH("00",J96)-3)),"",LEFT(J96,SEARCH("00",J96)-3))="LC"),
    "", "Video " &amp; IF(1=N("Si système a un scanner différent du Scanner populaire alors différent, sinon Scanner populaire")+AND(NOT(ISERROR(SEARCH("System",J96))),LEFT(J96,2)&lt;&gt;LEFT(PROD_MostPopularScanner,2)),
LEFT(J96,SEARCH("00",J96)-3),
PROD_MostPopularScanner) &amp; " Install"))
)</f>
        <v>☐ Video Scan. Install</v>
      </c>
      <c r="M97" s="378" t="str">
        <f>IF(N("If it is Dendro or Tron, Do not Show Color Analysis Video")+
OR(AND(ROW(L97)&gt;=9,ROW(L97)&lt;=38),
AND(ROW(L97)&gt;=99,ROW(L97)&lt;=128)), "","☐ Video ClrAna")</f>
        <v>☐ Video ClrAna</v>
      </c>
      <c r="N97" s="379" t="str">
        <f>IF(OR(INT((ROW(D97)-10)/30)+1=2,INT((ROW(D97)-10)/30)+1=4),"","☐ ")&amp;
IF(INT((ROW(D97)-10)/30)+1=1,"Scanner.cal","")&amp;
IF(INT((ROW(D97)-10)/30)+1=2,"","")&amp;
IF(INT((ROW(D97)-10)/30)+1=3,"Scanner.cal","")&amp;
IF(INT((ROW(D97)-10)/30)+1=4,"","")&amp;
IF(INT((ROW(D97)-10)/30)+1=5,"Scanner.cal","")&amp;
IF(INT((ROW(D97)-10)/30)+1=6,"Scanner.cal","")&amp;
IF(INT((ROW(D97)-10)/30)+1=7,"Scanner.cal","")&amp;
IF(INT((ROW(D97)-10)/30)+1=8,"Indiv" &amp; " Lens.cal","")</f>
        <v>☐ Scanner.cal</v>
      </c>
      <c r="O97" s="307" t="str">
        <f>IF(AND(ROW(L97)&gt;=9,ROW(L97)&lt;=38),"☐ RegentTarget.blu","")</f>
        <v/>
      </c>
      <c r="P97" s="215"/>
      <c r="Q97" s="215"/>
    </row>
    <row r="98" spans="1:17" ht="24" customHeight="1" x14ac:dyDescent="0.2">
      <c r="A98" s="429" t="s">
        <v>259</v>
      </c>
      <c r="B98" s="224" t="s">
        <v>259</v>
      </c>
      <c r="C98" s="307" t="s">
        <v>152</v>
      </c>
      <c r="D98" s="307" t="str">
        <f xml:space="preserve"> IF(N("If it is Cam, Do not Show XL")+AND(ROW(D98)&gt;=189,ROW(D98)&lt;=218),"","☐ XL Man")</f>
        <v>☐ XL Man</v>
      </c>
      <c r="E98" s="437" t="str">
        <f>IF(N("Si OR dessous = vrai, pas de box")+OR(
N("1 OR Tron ou CELL")+OR(AND(ROW(K97)&gt;=39,ROW(K97)&lt;=68),AND(ROW(K97)&gt;=99,ROW(K97)&lt;=128)),
N("2 Pas de système scanopy and range opy")+AND(ROW(K97)&gt;=219,ROW(K97)&lt;=248,SCANOPY_N_System&lt;2),
N("3 Avec LC")&amp;IF(ISERROR(LEFT(J96,SEARCH("00",J96)-3)),"",LEFT(J96,SEARCH("00",J96)-3))="LC"),"","☐ ")
&amp;
IF(N("If it's OPY, put OMount Manual instead")+
AND(ROW(J97)&gt;=219,ROW(J97)&lt;=248),
IF(SCANOPY_N_System&gt;1,"OMount Man",""),
IF(N("If it is Cell or Tron, Do not Show Scanner related items")+OR(
AND(ROW(K97)&gt;=39,ROW(K97)&lt;=68),
AND(ROW(K97)&gt;=99,ROW(K97)&lt;=128)),
    "", IF(1=N("Si système a un scanner différent du Scanner populaire alors différent, sinon Scanner populaire")+AND(NOT(ISERROR(SEARCH("System",J96))),LEFT(J96,2)&lt;&gt;LEFT(PROD_MostPopularScanner,2)),
LEFT(J96,SEARCH("00",J96)-3),
PROD_MostPopularScanner) &amp; " Install Man"))</f>
        <v>☐ Scan. Install Man</v>
      </c>
      <c r="F98" s="380" t="s">
        <v>275</v>
      </c>
      <c r="G98" s="307" t="s">
        <v>274</v>
      </c>
      <c r="H98" s="439" t="s">
        <v>250</v>
      </c>
      <c r="I98" s="381"/>
      <c r="J98" s="307" t="str">
        <f ca="1">IF(AND(
INDIRECT(
IF(INT((ROW(D98)-10)/30)+1=1,"DENDRO","")&amp;
IF(INT((ROW(D98)-10)/30)+1=2,"CELL","")&amp;
IF(INT((ROW(D98)-10)/30)+1=3,"RHIZO","")&amp;
IF(INT((ROW(D98)-10)/30)+1=4,"RHIZOTRON","")&amp;
IF(INT((ROW(D98)-10)/30)+1=5,"FOLIA","")&amp;
IF(INT((ROW(D98)-10)/30)+1=6,"SEEDLE","")&amp;
IF(INT((ROW(D98)-10)/30)+1=7,"CAM","")&amp;
IF(INT((ROW(D98)-10)/30)+1=8,"SCANOPY","") &amp; "_ChkB_RemoteUpdate"),
INDIRECT(
IF(INT((ROW(D98)-10)/30)+1=1,"DENDRO","")&amp;
IF(INT((ROW(D98)-10)/30)+1=2,"CELL","")&amp;
IF(INT((ROW(D98)-10)/30)+1=3,"RHIZO","")&amp;
IF(INT((ROW(D98)-10)/30)+1=4,"RHIZOTRON","")&amp;
IF(INT((ROW(D98)-10)/30)+1=5,"FOLIA","")&amp;
IF(INT((ROW(D98)-10)/30)+1=6,"SEEDLE","")&amp;
IF(INT((ROW(D98)-10)/30)+1=7,"CAM","")&amp;
IF(INT((ROW(D98)-10)/30)+1=8,"SCANOPY","") &amp; "_ChkBox_UpgradeUpdate")),
"Clé de bois ou Download. Reprogrammation clé client",
"☐ " &amp; IF(AND(QUOTE_Split_SoftwareHardware,QUOTE_InternetDownload),"Man ds env. ""Documents"", Clé ds bulle collée sur env.","Reliée au Man"))</f>
        <v>☐ Reliée au Man</v>
      </c>
      <c r="K98" s="265"/>
      <c r="L98" s="223"/>
      <c r="M98" s="439"/>
      <c r="N98" s="380"/>
      <c r="O98" s="307"/>
      <c r="P98" s="215"/>
      <c r="Q98" s="215"/>
    </row>
    <row r="99" spans="1:17" ht="16.25" customHeight="1" x14ac:dyDescent="0.2">
      <c r="A99" s="418"/>
      <c r="B99" s="293"/>
      <c r="C99" s="899" t="str">
        <f>IF((RHIZOTRON_N_UpgradeUpdate + RHIZOTRON_N_Software ) = 2,"",LEFT(INDEX(RHIZOTRON_SoftwareFullNames,RHIZOTRON_IndexSoftware),FIND(" ",INDEX(RHIZOTRON_SoftwareFullNames,RHIZOTRON_IndexSoftware),FIND(" ",INDEX(RHIZOTRON_SoftwareFullNames,RHIZOTRON_IndexSoftware))+8)) &amp;
RHIZOTRON_YearMostRecent)</f>
        <v/>
      </c>
      <c r="D99" s="899"/>
      <c r="E99" s="301"/>
      <c r="F99" s="301"/>
      <c r="G99" s="272" t="str">
        <f>IF(RHIZOTRON_OptionXL*(RHIZOTRON_N_Software+RHIZOTRON_N_UpgradeUpdate-2)&gt;=((ROW(G99)-ROW($G$99))/4+1),"XLRHIZOTRON "&amp; RHIZOTRON_YearMostRecent,"")</f>
        <v/>
      </c>
      <c r="H99" s="255"/>
      <c r="I99" s="255"/>
      <c r="J99" s="272" t="str">
        <f>IF(RHIZOTRON_N_Software-1&gt;=((ROW(G99)-ROW($G$99))/4+1),IF(N_SystemTotal=0,"Software Only",IF(N_STDScanners+N_LAScanners+N_LCScanners=0,"Software Sans Scanner","Software Avec Scanner")),
IF(RHIZOTRON_N_UpgradeUpdate-1&gt;=((ROW(G99)-ROW($G$99))/4+1)-(RHIZOTRON_N_Software-1),"Update",""))</f>
        <v/>
      </c>
      <c r="K99" s="255"/>
      <c r="L99" s="254"/>
      <c r="M99" s="254"/>
      <c r="N99" s="254"/>
      <c r="O99" s="215"/>
      <c r="P99" s="215"/>
      <c r="Q99" s="215"/>
    </row>
    <row r="100" spans="1:17" ht="24" customHeight="1" x14ac:dyDescent="0.2">
      <c r="A100" s="430" t="s">
        <v>258</v>
      </c>
      <c r="B100" s="287" t="s">
        <v>258</v>
      </c>
      <c r="C100" s="378" t="str">
        <f>IF(AND(QUOTE_Split_SoftwareHardware,QUOTE_InternetDownload),"",
"☐☐ Win" &amp;
IF(INT((ROW(D100)-10)/30)+1=1,"DEN","")&amp;
IF(INT((ROW(D100)-10)/30)+1=2,"CEL","")&amp;
IF(INT((ROW(D100)-10)/30)+1=3,"RHI","")&amp;
IF(INT((ROW(D100)-10)/30)+1=4,"RT","")&amp;
IF(INT((ROW(D100)-10)/30)+1=5,"FOL","")&amp;
IF(INT((ROW(D100)-10)/30)+1=6,"SEE","")&amp;
IF(INT((ROW(D100)-10)/30)+1=7,"CAM","")&amp;
IF(INT((ROW(D100)-10)/30)+1=8,"SCA","") &amp; ".exe")</f>
        <v>☐☐ WinRT.exe</v>
      </c>
      <c r="D100" s="378" t="str">
        <f>IF(AND(QUOTE_Split_SoftwareHardware,QUOTE_InternetDownload),"",
 IF(N("If it is Cam, Do not Show XL")+AND(ROW(D100)&gt;=189,ROW(D100)&lt;=218),"","☐ XL" &amp;
IF(INT((ROW(D100)-10)/30)+1=1,"STEM","")&amp;
IF(INT((ROW(D100)-10)/30)+1=2,"Cell","")&amp;
IF(INT((ROW(D100)-10)/30)+1=3,"Rhizo","")&amp;
IF(INT((ROW(D100)-10)/30)+1=4,"RhizoT","")&amp;
IF(INT((ROW(D100)-10)/30)+1=5,"Folia","")&amp;
IF(INT((ROW(D100)-10)/30)+1=6,"Seedle","")&amp;
IF(INT((ROW(D100)-10)/30)+1=7,"Cam","")&amp;
IF(INT((ROW(D100)-10)/30)+1=8,"Scanopy","") &amp; ".xls"))</f>
        <v>☐ XLRhizoT.xls</v>
      </c>
      <c r="E100" s="378" t="s">
        <v>299</v>
      </c>
      <c r="F100" s="379" t="s">
        <v>152</v>
      </c>
      <c r="G100" s="378" t="str">
        <f xml:space="preserve"> IF(N("If it is Cam, Do not Show XL")+AND(ROW(G100)&gt;=189,ROW(G100)&lt;=218),"","☐ XL Man")</f>
        <v>☐ XL Man</v>
      </c>
      <c r="H100" s="379" t="s">
        <v>280</v>
      </c>
      <c r="I100" s="307" t="s">
        <v>274</v>
      </c>
      <c r="J100" s="379" t="str">
        <f>IF(N("Si OR dessous = vrai, pas de box")+OR(
N("1 OR Tron ou CELL")+OR(AND(ROW(E100)&gt;=39,ROW(E100)&lt;=68),AND(ROW(E100)&gt;=99,ROW(E100)&lt;=128)),
N("2 Pas de système scanopy and range opy")+AND(ROW(E100)&gt;=219,ROW(E100)&lt;=248,SCANOPY_N_System&lt;2),
N("3 Avec LC") + IF(AND(IF(PROD_MostPopularScanner="LC",1,0), NOT(AND(ROW(E100)&gt;=129,ROW(E100)&lt;=158)), NOT(AND(ROW(E100)&gt;=189,ROW(E100)&lt;=218))),1,0)
),"","☐ ")
&amp;
IF(N("If it's OPY, put OMount Manual instead")+
AND(ROW(D100)&gt;=219,ROW(D100)&lt;=248),
IF(SCANOPY_N_System&gt;1,
IF(SCANOPY_IndexScanner=1,"α" &amp; SCANOPY_CameraModel,SCANOPY_CameraModel_Mini) &amp; " Man",""),
IF(N("Empty si OR = true . . .If it is Cell or Tron, Do not Show Scanner related items + Hide if LC is favorite on unavailable product")+OR(
AND(ROW(E100)&gt;=39,ROW(E100)&lt;=68),
AND(ROW(E100)&gt;=99,ROW(E100)&lt;=128),
AND(IF(PROD_MostPopularScanner="LC",1,0), NOT(AND(ROW(E100)&gt;=129,ROW(E100)&lt;=158)), NOT(AND(ROW(E100)&gt;=189,ROW(E100)&lt;=218))),
0=1),
    "", IF(1=N("Si système a un scanner différent du Scanner populaire alors différent, sinon Scanner populaire")+AND(NOT(ISERROR(SEARCH("System",J99))),LEFT(J99,2)&lt;&gt;LEFT(PROD_MostPopularScanner,2)),
LEFT(J99,SEARCH("00",J99)-3),
PROD_MostPopularScanner) &amp; " Install Man"))</f>
        <v/>
      </c>
      <c r="K100" s="378" t="str">
        <f>IF(N("If it is Cell or Tron or OPY, Do not Show Twain")+OR(AND(ROW(K100)&gt;=39,ROW(K100)&lt;=68),AND(ROW(K100)&gt;=99,ROW(K100)&lt;=128),AND(ROW(J100)&gt;=219,ROW(J100)&lt;=248)),"","☐ TWAIN")</f>
        <v/>
      </c>
      <c r="L100" s="379" t="str">
        <f>IF(AND(IF(PROD_MostPopularScanner="LC",1,0), NOT(AND(ROW(E100)&gt;=129,ROW(E100)&lt;=158)), NOT(AND(ROW(E100)&gt;=189,ROW(E100)&lt;=218))),"",
IF(N("Si OR dessous = vrai, pas de box")+OR(
N("1 OR Dendro+CELL, Tron+Folia,Cam")+OR(
AND(ROW(K100)&gt;=9,ROW(K100)&lt;=68),
AND(ROW(K100)&gt;=99,ROW(K100)&lt;=158),
AND(ROW(K100)&gt;=189,ROW(K100)&lt;=218)),
N("2 Pas de système scanopy and range opy")+AND(ROW(K100)&gt;=219,ROW(K100)&lt;=248,SCANOPY_N_System&lt;2),
N("3 Avec LC")&amp;IF(ISERROR(LEFT(J99,SEARCH("00",J99)-3)),"",LEFT(J99,SEARCH("00",J99)-3))="LC"),"","☐ ")
&amp;
IF(N("If it's OPY, put OMount Manual instead")+
AND(ROW(J100)&gt;=219,ROW(J100)&lt;=248),
IF(SCANOPY_N_System&gt;1,"OMount Man",""),
IF(N("If it is Dendro+CELL, Tron+Folia or Cam, Do not Show Scanner related items+No Video if LC")+OR(
AND(ROW(K100)&gt;=9,ROW(K100)&lt;=68),
AND(ROW(K100)&gt;=99,ROW(K100)&lt;=158),
AND(ROW(K100)&gt;=189,ROW(K100)&lt;=218),
IF(ISERROR(LEFT(J99,SEARCH("00",J99)-3)),"",LEFT(J99,SEARCH("00",J99)-3))="LC"),
    "", "Video " &amp; IF(1=N("Si système a un scanner différent du Scanner populaire alors différent, sinon Scanner populaire")+AND(NOT(ISERROR(SEARCH("System",J99))),LEFT(J99,2)&lt;&gt;LEFT(PROD_MostPopularScanner,2)),
LEFT(J99,SEARCH("00",J99)-3),
PROD_MostPopularScanner) &amp; " Install"))
)</f>
        <v/>
      </c>
      <c r="M100" s="378" t="str">
        <f>IF(N("If it is Dendro or Tron, Do not Show Color Analysis Video")+
OR(AND(ROW(L100)&gt;=9,ROW(L100)&lt;=38),
AND(ROW(L100)&gt;=99,ROW(L100)&lt;=128)), "","☐ Video ClrAna")</f>
        <v/>
      </c>
      <c r="N100" s="379" t="str">
        <f>IF(OR(INT((ROW(D100)-10)/30)+1=2,INT((ROW(D100)-10)/30)+1=4),"","☐ ")&amp;
IF(INT((ROW(D100)-10)/30)+1=1,"Scanner.cal","")&amp;
IF(INT((ROW(D100)-10)/30)+1=2,"","")&amp;
IF(INT((ROW(D100)-10)/30)+1=3,"Scanner.cal","")&amp;
IF(INT((ROW(D100)-10)/30)+1=4,"","")&amp;
IF(INT((ROW(D100)-10)/30)+1=5,"Scanner.cal","")&amp;
IF(INT((ROW(D100)-10)/30)+1=6,"Scanner.cal","")&amp;
IF(INT((ROW(D100)-10)/30)+1=7,"Scanner.cal","")&amp;
IF(INT((ROW(D100)-10)/30)+1=8,"Indiv" &amp; " Lens.cal","")</f>
        <v/>
      </c>
      <c r="O100" s="307" t="str">
        <f>IF(AND(ROW(L100)&gt;=9,ROW(L100)&lt;=38),"☐ RegentTarget.blu","")</f>
        <v/>
      </c>
      <c r="P100" s="215"/>
      <c r="Q100" s="215"/>
    </row>
    <row r="101" spans="1:17" ht="24" customHeight="1" x14ac:dyDescent="0.2">
      <c r="A101" s="430" t="s">
        <v>259</v>
      </c>
      <c r="B101" s="224" t="s">
        <v>259</v>
      </c>
      <c r="C101" s="307" t="s">
        <v>152</v>
      </c>
      <c r="D101" s="307" t="str">
        <f xml:space="preserve"> IF(N("If it is Cam, Do not Show XL")+AND(ROW(D101)&gt;=189,ROW(D101)&lt;=218),"","☐ XL Man")</f>
        <v>☐ XL Man</v>
      </c>
      <c r="E101" s="437" t="str">
        <f>IF(N("Si OR dessous = vrai, pas de box")+OR(
N("1 OR Tron ou CELL")+OR(AND(ROW(K100)&gt;=39,ROW(K100)&lt;=68),AND(ROW(K100)&gt;=99,ROW(K100)&lt;=128)),
N("2 Pas de système scanopy and range opy")+AND(ROW(K100)&gt;=219,ROW(K100)&lt;=248,SCANOPY_N_System&lt;2),
N("3 Avec LC")&amp;IF(ISERROR(LEFT(J99,SEARCH("00",J99)-3)),"",LEFT(J99,SEARCH("00",J99)-3))="LC"),"","☐ ")
&amp;
IF(N("If it's OPY, put OMount Manual instead")+
AND(ROW(J100)&gt;=219,ROW(J100)&lt;=248),
IF(SCANOPY_N_System&gt;1,"OMount Man",""),
IF(N("If it is Cell or Tron, Do not Show Scanner related items")+OR(
AND(ROW(K100)&gt;=39,ROW(K100)&lt;=68),
AND(ROW(K100)&gt;=99,ROW(K100)&lt;=128)),
    "", IF(1=N("Si système a un scanner différent du Scanner populaire alors différent, sinon Scanner populaire")+AND(NOT(ISERROR(SEARCH("System",J99))),LEFT(J99,2)&lt;&gt;LEFT(PROD_MostPopularScanner,2)),
LEFT(J99,SEARCH("00",J99)-3),
PROD_MostPopularScanner) &amp; " Install Man"))</f>
        <v/>
      </c>
      <c r="F101" s="380" t="s">
        <v>275</v>
      </c>
      <c r="G101" s="307" t="s">
        <v>274</v>
      </c>
      <c r="H101" s="439" t="s">
        <v>250</v>
      </c>
      <c r="I101" s="381"/>
      <c r="J101" s="307" t="str">
        <f ca="1">IF(AND(
INDIRECT(
IF(INT((ROW(D101)-10)/30)+1=1,"DENDRO","")&amp;
IF(INT((ROW(D101)-10)/30)+1=2,"CELL","")&amp;
IF(INT((ROW(D101)-10)/30)+1=3,"RHIZO","")&amp;
IF(INT((ROW(D101)-10)/30)+1=4,"RHIZOTRON","")&amp;
IF(INT((ROW(D101)-10)/30)+1=5,"FOLIA","")&amp;
IF(INT((ROW(D101)-10)/30)+1=6,"SEEDLE","")&amp;
IF(INT((ROW(D101)-10)/30)+1=7,"CAM","")&amp;
IF(INT((ROW(D101)-10)/30)+1=8,"SCANOPY","") &amp; "_ChkB_RemoteUpdate"),
INDIRECT(
IF(INT((ROW(D101)-10)/30)+1=1,"DENDRO","")&amp;
IF(INT((ROW(D101)-10)/30)+1=2,"CELL","")&amp;
IF(INT((ROW(D101)-10)/30)+1=3,"RHIZO","")&amp;
IF(INT((ROW(D101)-10)/30)+1=4,"RHIZOTRON","")&amp;
IF(INT((ROW(D101)-10)/30)+1=5,"FOLIA","")&amp;
IF(INT((ROW(D101)-10)/30)+1=6,"SEEDLE","")&amp;
IF(INT((ROW(D101)-10)/30)+1=7,"CAM","")&amp;
IF(INT((ROW(D101)-10)/30)+1=8,"SCANOPY","") &amp; "_ChkBox_UpgradeUpdate")),
"Clé de bois ou Download. Reprogrammation clé client",
"☐ " &amp; IF(AND(QUOTE_Split_SoftwareHardware,QUOTE_InternetDownload),"Man ds env. ""Documents"", Clé ds bulle collée sur env.","Reliée au Man"))</f>
        <v>☐ Reliée au Man</v>
      </c>
      <c r="K101" s="265"/>
      <c r="L101" s="223"/>
      <c r="M101" s="439"/>
      <c r="N101" s="380"/>
      <c r="O101" s="307"/>
      <c r="P101" s="215"/>
      <c r="Q101" s="215"/>
    </row>
    <row r="102" spans="1:17" ht="16.25" customHeight="1" x14ac:dyDescent="0.2">
      <c r="A102" s="418"/>
      <c r="B102" s="293"/>
      <c r="C102" s="899" t="str">
        <f>IF((RHIZOTRON_N_UpgradeUpdate + RHIZOTRON_N_Software ) = 2,"",LEFT(INDEX(RHIZOTRON_SoftwareFullNames,RHIZOTRON_IndexSoftware),FIND(" ",INDEX(RHIZOTRON_SoftwareFullNames,RHIZOTRON_IndexSoftware),FIND(" ",INDEX(RHIZOTRON_SoftwareFullNames,RHIZOTRON_IndexSoftware))+8)) &amp;
RHIZOTRON_YearMostRecent)</f>
        <v/>
      </c>
      <c r="D102" s="899"/>
      <c r="E102" s="301"/>
      <c r="F102" s="301"/>
      <c r="G102" s="272" t="str">
        <f>IF(RHIZOTRON_OptionXL*(RHIZOTRON_N_Software+RHIZOTRON_N_UpgradeUpdate-2)&gt;=((ROW(G102)-ROW($G$99))/4+1),"XLRHIZOTRON "&amp; RHIZOTRON_YearMostRecent,"")</f>
        <v/>
      </c>
      <c r="H102" s="255"/>
      <c r="I102" s="255"/>
      <c r="J102" s="272" t="str">
        <f>IF(RHIZOTRON_N_Software-1&gt;=((ROW(G102)-ROW($G$99))/4+1),IF(N_SystemTotal=0,"Software Only",IF(N_STDScanners+N_LAScanners+N_LCScanners=0,"Software Sans Scanner","Software Avec Scanner")),
IF(RHIZOTRON_N_UpgradeUpdate-1&gt;=((ROW(G102)-ROW($G$99))/4+1)-(RHIZOTRON_N_Software-1),"Update",""))</f>
        <v/>
      </c>
      <c r="K102" s="255"/>
      <c r="L102" s="254"/>
      <c r="M102" s="254"/>
      <c r="N102" s="254"/>
      <c r="O102" s="215"/>
      <c r="P102" s="215"/>
      <c r="Q102" s="215"/>
    </row>
    <row r="103" spans="1:17" ht="24" customHeight="1" x14ac:dyDescent="0.2">
      <c r="A103" s="430" t="s">
        <v>258</v>
      </c>
      <c r="B103" s="287" t="s">
        <v>258</v>
      </c>
      <c r="C103" s="378" t="str">
        <f>IF(AND(QUOTE_Split_SoftwareHardware,QUOTE_InternetDownload),"",
"☐☐ Win" &amp;
IF(INT((ROW(D103)-10)/30)+1=1,"DEN","")&amp;
IF(INT((ROW(D103)-10)/30)+1=2,"CEL","")&amp;
IF(INT((ROW(D103)-10)/30)+1=3,"RHI","")&amp;
IF(INT((ROW(D103)-10)/30)+1=4,"RT","")&amp;
IF(INT((ROW(D103)-10)/30)+1=5,"FOL","")&amp;
IF(INT((ROW(D103)-10)/30)+1=6,"SEE","")&amp;
IF(INT((ROW(D103)-10)/30)+1=7,"CAM","")&amp;
IF(INT((ROW(D103)-10)/30)+1=8,"SCA","") &amp; ".exe")</f>
        <v>☐☐ WinRT.exe</v>
      </c>
      <c r="D103" s="378" t="str">
        <f>IF(AND(QUOTE_Split_SoftwareHardware,QUOTE_InternetDownload),"",
 IF(N("If it is Cam, Do not Show XL")+AND(ROW(D103)&gt;=189,ROW(D103)&lt;=218),"","☐ XL" &amp;
IF(INT((ROW(D103)-10)/30)+1=1,"STEM","")&amp;
IF(INT((ROW(D103)-10)/30)+1=2,"Cell","")&amp;
IF(INT((ROW(D103)-10)/30)+1=3,"Rhizo","")&amp;
IF(INT((ROW(D103)-10)/30)+1=4,"RhizoT","")&amp;
IF(INT((ROW(D103)-10)/30)+1=5,"Folia","")&amp;
IF(INT((ROW(D103)-10)/30)+1=6,"Seedle","")&amp;
IF(INT((ROW(D103)-10)/30)+1=7,"Cam","")&amp;
IF(INT((ROW(D103)-10)/30)+1=8,"Scanopy","") &amp; ".xls"))</f>
        <v>☐ XLRhizoT.xls</v>
      </c>
      <c r="E103" s="378" t="s">
        <v>299</v>
      </c>
      <c r="F103" s="379" t="s">
        <v>152</v>
      </c>
      <c r="G103" s="378" t="str">
        <f xml:space="preserve"> IF(N("If it is Cam, Do not Show XL")+AND(ROW(G103)&gt;=189,ROW(G103)&lt;=218),"","☐ XL Man")</f>
        <v>☐ XL Man</v>
      </c>
      <c r="H103" s="379" t="s">
        <v>280</v>
      </c>
      <c r="I103" s="307" t="s">
        <v>274</v>
      </c>
      <c r="J103" s="379" t="str">
        <f>IF(N("Si OR dessous = vrai, pas de box")+OR(
N("1 OR Tron ou CELL")+OR(AND(ROW(E103)&gt;=39,ROW(E103)&lt;=68),AND(ROW(E103)&gt;=99,ROW(E103)&lt;=128)),
N("2 Pas de système scanopy and range opy")+AND(ROW(E103)&gt;=219,ROW(E103)&lt;=248,SCANOPY_N_System&lt;2),
N("3 Avec LC") + IF(AND(IF(PROD_MostPopularScanner="LC",1,0), NOT(AND(ROW(E103)&gt;=129,ROW(E103)&lt;=158)), NOT(AND(ROW(E103)&gt;=189,ROW(E103)&lt;=218))),1,0)
),"","☐ ")
&amp;
IF(N("If it's OPY, put OMount Manual instead")+
AND(ROW(D103)&gt;=219,ROW(D103)&lt;=248),
IF(SCANOPY_N_System&gt;1,
IF(SCANOPY_IndexScanner=1,"α" &amp; SCANOPY_CameraModel,SCANOPY_CameraModel_Mini) &amp; " Man",""),
IF(N("Empty si OR = true . . .If it is Cell or Tron, Do not Show Scanner related items + Hide if LC is favorite on unavailable product")+OR(
AND(ROW(E103)&gt;=39,ROW(E103)&lt;=68),
AND(ROW(E103)&gt;=99,ROW(E103)&lt;=128),
AND(IF(PROD_MostPopularScanner="LC",1,0), NOT(AND(ROW(E103)&gt;=129,ROW(E103)&lt;=158)), NOT(AND(ROW(E103)&gt;=189,ROW(E103)&lt;=218))),
0=1),
    "", IF(1=N("Si système a un scanner différent du Scanner populaire alors différent, sinon Scanner populaire")+AND(NOT(ISERROR(SEARCH("System",J102))),LEFT(J102,2)&lt;&gt;LEFT(PROD_MostPopularScanner,2)),
LEFT(J102,SEARCH("00",J102)-3),
PROD_MostPopularScanner) &amp; " Install Man"))</f>
        <v/>
      </c>
      <c r="K103" s="378" t="str">
        <f>IF(N("If it is Cell or Tron or OPY, Do not Show Twain")+OR(AND(ROW(K103)&gt;=39,ROW(K103)&lt;=68),AND(ROW(K103)&gt;=99,ROW(K103)&lt;=128),AND(ROW(J103)&gt;=219,ROW(J103)&lt;=248)),"","☐ TWAIN")</f>
        <v/>
      </c>
      <c r="L103" s="379" t="str">
        <f>IF(AND(IF(PROD_MostPopularScanner="LC",1,0), NOT(AND(ROW(E103)&gt;=129,ROW(E103)&lt;=158)), NOT(AND(ROW(E103)&gt;=189,ROW(E103)&lt;=218))),"",
IF(N("Si OR dessous = vrai, pas de box")+OR(
N("1 OR Dendro+CELL, Tron+Folia,Cam")+OR(
AND(ROW(K103)&gt;=9,ROW(K103)&lt;=68),
AND(ROW(K103)&gt;=99,ROW(K103)&lt;=158),
AND(ROW(K103)&gt;=189,ROW(K103)&lt;=218)),
N("2 Pas de système scanopy and range opy")+AND(ROW(K103)&gt;=219,ROW(K103)&lt;=248,SCANOPY_N_System&lt;2),
N("3 Avec LC")&amp;IF(ISERROR(LEFT(J102,SEARCH("00",J102)-3)),"",LEFT(J102,SEARCH("00",J102)-3))="LC"),"","☐ ")
&amp;
IF(N("If it's OPY, put OMount Manual instead")+
AND(ROW(J103)&gt;=219,ROW(J103)&lt;=248),
IF(SCANOPY_N_System&gt;1,"OMount Man",""),
IF(N("If it is Dendro+CELL, Tron+Folia or Cam, Do not Show Scanner related items+No Video if LC")+OR(
AND(ROW(K103)&gt;=9,ROW(K103)&lt;=68),
AND(ROW(K103)&gt;=99,ROW(K103)&lt;=158),
AND(ROW(K103)&gt;=189,ROW(K103)&lt;=218),
IF(ISERROR(LEFT(J102,SEARCH("00",J102)-3)),"",LEFT(J102,SEARCH("00",J102)-3))="LC"),
    "", "Video " &amp; IF(1=N("Si système a un scanner différent du Scanner populaire alors différent, sinon Scanner populaire")+AND(NOT(ISERROR(SEARCH("System",J102))),LEFT(J102,2)&lt;&gt;LEFT(PROD_MostPopularScanner,2)),
LEFT(J102,SEARCH("00",J102)-3),
PROD_MostPopularScanner) &amp; " Install"))
)</f>
        <v/>
      </c>
      <c r="M103" s="378" t="str">
        <f>IF(N("If it is Dendro or Tron, Do not Show Color Analysis Video")+
OR(AND(ROW(L103)&gt;=9,ROW(L103)&lt;=38),
AND(ROW(L103)&gt;=99,ROW(L103)&lt;=128)), "","☐ Video ClrAna")</f>
        <v/>
      </c>
      <c r="N103" s="379" t="str">
        <f>IF(OR(INT((ROW(D103)-10)/30)+1=2,INT((ROW(D103)-10)/30)+1=4),"","☐ ")&amp;
IF(INT((ROW(D103)-10)/30)+1=1,"Scanner.cal","")&amp;
IF(INT((ROW(D103)-10)/30)+1=2,"","")&amp;
IF(INT((ROW(D103)-10)/30)+1=3,"Scanner.cal","")&amp;
IF(INT((ROW(D103)-10)/30)+1=4,"","")&amp;
IF(INT((ROW(D103)-10)/30)+1=5,"Scanner.cal","")&amp;
IF(INT((ROW(D103)-10)/30)+1=6,"Scanner.cal","")&amp;
IF(INT((ROW(D103)-10)/30)+1=7,"Scanner.cal","")&amp;
IF(INT((ROW(D103)-10)/30)+1=8,"Indiv" &amp; " Lens.cal","")</f>
        <v/>
      </c>
      <c r="O103" s="307" t="str">
        <f>IF(AND(ROW(L103)&gt;=9,ROW(L103)&lt;=38),"☐ RegentTarget.blu","")</f>
        <v/>
      </c>
      <c r="P103" s="215"/>
      <c r="Q103" s="215"/>
    </row>
    <row r="104" spans="1:17" ht="24" customHeight="1" x14ac:dyDescent="0.2">
      <c r="A104" s="430" t="s">
        <v>259</v>
      </c>
      <c r="B104" s="224" t="s">
        <v>259</v>
      </c>
      <c r="C104" s="307" t="s">
        <v>152</v>
      </c>
      <c r="D104" s="307" t="str">
        <f xml:space="preserve"> IF(N("If it is Cam, Do not Show XL")+AND(ROW(D104)&gt;=189,ROW(D104)&lt;=218),"","☐ XL Man")</f>
        <v>☐ XL Man</v>
      </c>
      <c r="E104" s="437" t="str">
        <f>IF(N("Si OR dessous = vrai, pas de box")+OR(
N("1 OR Tron ou CELL")+OR(AND(ROW(K103)&gt;=39,ROW(K103)&lt;=68),AND(ROW(K103)&gt;=99,ROW(K103)&lt;=128)),
N("2 Pas de système scanopy and range opy")+AND(ROW(K103)&gt;=219,ROW(K103)&lt;=248,SCANOPY_N_System&lt;2),
N("3 Avec LC")&amp;IF(ISERROR(LEFT(J102,SEARCH("00",J102)-3)),"",LEFT(J102,SEARCH("00",J102)-3))="LC"),"","☐ ")
&amp;
IF(N("If it's OPY, put OMount Manual instead")+
AND(ROW(J103)&gt;=219,ROW(J103)&lt;=248),
IF(SCANOPY_N_System&gt;1,"OMount Man",""),
IF(N("If it is Cell or Tron, Do not Show Scanner related items")+OR(
AND(ROW(K103)&gt;=39,ROW(K103)&lt;=68),
AND(ROW(K103)&gt;=99,ROW(K103)&lt;=128)),
    "", IF(1=N("Si système a un scanner différent du Scanner populaire alors différent, sinon Scanner populaire")+AND(NOT(ISERROR(SEARCH("System",J102))),LEFT(J102,2)&lt;&gt;LEFT(PROD_MostPopularScanner,2)),
LEFT(J102,SEARCH("00",J102)-3),
PROD_MostPopularScanner) &amp; " Install Man"))</f>
        <v/>
      </c>
      <c r="F104" s="380" t="s">
        <v>275</v>
      </c>
      <c r="G104" s="307" t="s">
        <v>274</v>
      </c>
      <c r="H104" s="439" t="s">
        <v>250</v>
      </c>
      <c r="I104" s="381"/>
      <c r="J104" s="307" t="str">
        <f ca="1">IF(AND(
INDIRECT(
IF(INT((ROW(D104)-10)/30)+1=1,"DENDRO","")&amp;
IF(INT((ROW(D104)-10)/30)+1=2,"CELL","")&amp;
IF(INT((ROW(D104)-10)/30)+1=3,"RHIZO","")&amp;
IF(INT((ROW(D104)-10)/30)+1=4,"RHIZOTRON","")&amp;
IF(INT((ROW(D104)-10)/30)+1=5,"FOLIA","")&amp;
IF(INT((ROW(D104)-10)/30)+1=6,"SEEDLE","")&amp;
IF(INT((ROW(D104)-10)/30)+1=7,"CAM","")&amp;
IF(INT((ROW(D104)-10)/30)+1=8,"SCANOPY","") &amp; "_ChkB_RemoteUpdate"),
INDIRECT(
IF(INT((ROW(D104)-10)/30)+1=1,"DENDRO","")&amp;
IF(INT((ROW(D104)-10)/30)+1=2,"CELL","")&amp;
IF(INT((ROW(D104)-10)/30)+1=3,"RHIZO","")&amp;
IF(INT((ROW(D104)-10)/30)+1=4,"RHIZOTRON","")&amp;
IF(INT((ROW(D104)-10)/30)+1=5,"FOLIA","")&amp;
IF(INT((ROW(D104)-10)/30)+1=6,"SEEDLE","")&amp;
IF(INT((ROW(D104)-10)/30)+1=7,"CAM","")&amp;
IF(INT((ROW(D104)-10)/30)+1=8,"SCANOPY","") &amp; "_ChkBox_UpgradeUpdate")),
"Clé de bois ou Download. Reprogrammation clé client",
"☐ " &amp; IF(AND(QUOTE_Split_SoftwareHardware,QUOTE_InternetDownload),"Man ds env. ""Documents"", Clé ds bulle collée sur env.","Reliée au Man"))</f>
        <v>☐ Reliée au Man</v>
      </c>
      <c r="K104" s="265"/>
      <c r="L104" s="223"/>
      <c r="M104" s="439"/>
      <c r="N104" s="380"/>
      <c r="O104" s="307"/>
      <c r="P104" s="215"/>
      <c r="Q104" s="215"/>
    </row>
    <row r="105" spans="1:17" ht="16.25" customHeight="1" x14ac:dyDescent="0.2">
      <c r="A105" s="418"/>
      <c r="B105" s="293"/>
      <c r="C105" s="899" t="str">
        <f>IF((RHIZOTRON_N_UpgradeUpdate + RHIZOTRON_N_Software ) = 2,"",LEFT(INDEX(RHIZOTRON_SoftwareFullNames,RHIZOTRON_IndexSoftware),FIND(" ",INDEX(RHIZOTRON_SoftwareFullNames,RHIZOTRON_IndexSoftware),FIND(" ",INDEX(RHIZOTRON_SoftwareFullNames,RHIZOTRON_IndexSoftware))+8)) &amp;
RHIZOTRON_YearMostRecent)</f>
        <v/>
      </c>
      <c r="D105" s="899"/>
      <c r="E105" s="301"/>
      <c r="F105" s="301"/>
      <c r="G105" s="272" t="str">
        <f>IF(RHIZOTRON_OptionXL*(RHIZOTRON_N_Software+RHIZOTRON_N_UpgradeUpdate-2)&gt;=((ROW(G105)-ROW($G$99))/4+1),"XLRHIZOTRON "&amp; RHIZOTRON_YearMostRecent,"")</f>
        <v/>
      </c>
      <c r="H105" s="255"/>
      <c r="I105" s="255"/>
      <c r="J105" s="272" t="str">
        <f>IF(RHIZOTRON_N_Software-1&gt;=((ROW(G105)-ROW($G$99))/4+1),IF(N_SystemTotal=0,"Software Only",IF(N_STDScanners+N_LAScanners+N_LCScanners=0,"Software Sans Scanner","Software Avec Scanner")),
IF(RHIZOTRON_N_UpgradeUpdate-1&gt;=((ROW(G105)-ROW($G$99))/4+1)-(RHIZOTRON_N_Software-1),"Update",""))</f>
        <v/>
      </c>
      <c r="K105" s="255"/>
      <c r="L105" s="254"/>
      <c r="M105" s="254"/>
      <c r="N105" s="254"/>
      <c r="O105" s="215"/>
      <c r="P105" s="215"/>
      <c r="Q105" s="215"/>
    </row>
    <row r="106" spans="1:17" ht="24" customHeight="1" x14ac:dyDescent="0.2">
      <c r="A106" s="430" t="s">
        <v>258</v>
      </c>
      <c r="B106" s="287" t="s">
        <v>258</v>
      </c>
      <c r="C106" s="378" t="str">
        <f>IF(AND(QUOTE_Split_SoftwareHardware,QUOTE_InternetDownload),"",
"☐☐ Win" &amp;
IF(INT((ROW(D106)-10)/30)+1=1,"DEN","")&amp;
IF(INT((ROW(D106)-10)/30)+1=2,"CEL","")&amp;
IF(INT((ROW(D106)-10)/30)+1=3,"RHI","")&amp;
IF(INT((ROW(D106)-10)/30)+1=4,"RT","")&amp;
IF(INT((ROW(D106)-10)/30)+1=5,"FOL","")&amp;
IF(INT((ROW(D106)-10)/30)+1=6,"SEE","")&amp;
IF(INT((ROW(D106)-10)/30)+1=7,"CAM","")&amp;
IF(INT((ROW(D106)-10)/30)+1=8,"SCA","") &amp; ".exe")</f>
        <v>☐☐ WinRT.exe</v>
      </c>
      <c r="D106" s="378" t="str">
        <f>IF(AND(QUOTE_Split_SoftwareHardware,QUOTE_InternetDownload),"",
 IF(N("If it is Cam, Do not Show XL")+AND(ROW(D106)&gt;=189,ROW(D106)&lt;=218),"","☐ XL" &amp;
IF(INT((ROW(D106)-10)/30)+1=1,"STEM","")&amp;
IF(INT((ROW(D106)-10)/30)+1=2,"Cell","")&amp;
IF(INT((ROW(D106)-10)/30)+1=3,"Rhizo","")&amp;
IF(INT((ROW(D106)-10)/30)+1=4,"RhizoT","")&amp;
IF(INT((ROW(D106)-10)/30)+1=5,"Folia","")&amp;
IF(INT((ROW(D106)-10)/30)+1=6,"Seedle","")&amp;
IF(INT((ROW(D106)-10)/30)+1=7,"Cam","")&amp;
IF(INT((ROW(D106)-10)/30)+1=8,"Scanopy","") &amp; ".xls"))</f>
        <v>☐ XLRhizoT.xls</v>
      </c>
      <c r="E106" s="378" t="s">
        <v>299</v>
      </c>
      <c r="F106" s="379" t="s">
        <v>152</v>
      </c>
      <c r="G106" s="378" t="str">
        <f xml:space="preserve"> IF(N("If it is Cam, Do not Show XL")+AND(ROW(G106)&gt;=189,ROW(G106)&lt;=218),"","☐ XL Man")</f>
        <v>☐ XL Man</v>
      </c>
      <c r="H106" s="379" t="s">
        <v>280</v>
      </c>
      <c r="I106" s="307" t="s">
        <v>274</v>
      </c>
      <c r="J106" s="379" t="str">
        <f>IF(N("Si OR dessous = vrai, pas de box")+OR(
N("1 OR Tron ou CELL")+OR(AND(ROW(E106)&gt;=39,ROW(E106)&lt;=68),AND(ROW(E106)&gt;=99,ROW(E106)&lt;=128)),
N("2 Pas de système scanopy and range opy")+AND(ROW(E106)&gt;=219,ROW(E106)&lt;=248,SCANOPY_N_System&lt;2),
N("3 Avec LC") + IF(AND(IF(PROD_MostPopularScanner="LC",1,0), NOT(AND(ROW(E106)&gt;=129,ROW(E106)&lt;=158)), NOT(AND(ROW(E106)&gt;=189,ROW(E106)&lt;=218))),1,0)
),"","☐ ")
&amp;
IF(N("If it's OPY, put OMount Manual instead")+
AND(ROW(D106)&gt;=219,ROW(D106)&lt;=248),
IF(SCANOPY_N_System&gt;1,
IF(SCANOPY_IndexScanner=1,"α" &amp; SCANOPY_CameraModel,SCANOPY_CameraModel_Mini) &amp; " Man",""),
IF(N("Empty si OR = true . . .If it is Cell or Tron, Do not Show Scanner related items + Hide if LC is favorite on unavailable product")+OR(
AND(ROW(E106)&gt;=39,ROW(E106)&lt;=68),
AND(ROW(E106)&gt;=99,ROW(E106)&lt;=128),
AND(IF(PROD_MostPopularScanner="LC",1,0), NOT(AND(ROW(E106)&gt;=129,ROW(E106)&lt;=158)), NOT(AND(ROW(E106)&gt;=189,ROW(E106)&lt;=218))),
0=1),
    "", IF(1=N("Si système a un scanner différent du Scanner populaire alors différent, sinon Scanner populaire")+AND(NOT(ISERROR(SEARCH("System",J105))),LEFT(J105,2)&lt;&gt;LEFT(PROD_MostPopularScanner,2)),
LEFT(J105,SEARCH("00",J105)-3),
PROD_MostPopularScanner) &amp; " Install Man"))</f>
        <v/>
      </c>
      <c r="K106" s="378" t="str">
        <f>IF(N("If it is Cell or Tron or OPY, Do not Show Twain")+OR(AND(ROW(K106)&gt;=39,ROW(K106)&lt;=68),AND(ROW(K106)&gt;=99,ROW(K106)&lt;=128),AND(ROW(J106)&gt;=219,ROW(J106)&lt;=248)),"","☐ TWAIN")</f>
        <v/>
      </c>
      <c r="L106" s="379" t="str">
        <f>IF(AND(IF(PROD_MostPopularScanner="LC",1,0), NOT(AND(ROW(E106)&gt;=129,ROW(E106)&lt;=158)), NOT(AND(ROW(E106)&gt;=189,ROW(E106)&lt;=218))),"",
IF(N("Si OR dessous = vrai, pas de box")+OR(
N("1 OR Dendro+CELL, Tron+Folia,Cam")+OR(
AND(ROW(K106)&gt;=9,ROW(K106)&lt;=68),
AND(ROW(K106)&gt;=99,ROW(K106)&lt;=158),
AND(ROW(K106)&gt;=189,ROW(K106)&lt;=218)),
N("2 Pas de système scanopy and range opy")+AND(ROW(K106)&gt;=219,ROW(K106)&lt;=248,SCANOPY_N_System&lt;2),
N("3 Avec LC")&amp;IF(ISERROR(LEFT(J105,SEARCH("00",J105)-3)),"",LEFT(J105,SEARCH("00",J105)-3))="LC"),"","☐ ")
&amp;
IF(N("If it's OPY, put OMount Manual instead")+
AND(ROW(J106)&gt;=219,ROW(J106)&lt;=248),
IF(SCANOPY_N_System&gt;1,"OMount Man",""),
IF(N("If it is Dendro+CELL, Tron+Folia or Cam, Do not Show Scanner related items+No Video if LC")+OR(
AND(ROW(K106)&gt;=9,ROW(K106)&lt;=68),
AND(ROW(K106)&gt;=99,ROW(K106)&lt;=158),
AND(ROW(K106)&gt;=189,ROW(K106)&lt;=218),
IF(ISERROR(LEFT(J105,SEARCH("00",J105)-3)),"",LEFT(J105,SEARCH("00",J105)-3))="LC"),
    "", "Video " &amp; IF(1=N("Si système a un scanner différent du Scanner populaire alors différent, sinon Scanner populaire")+AND(NOT(ISERROR(SEARCH("System",J105))),LEFT(J105,2)&lt;&gt;LEFT(PROD_MostPopularScanner,2)),
LEFT(J105,SEARCH("00",J105)-3),
PROD_MostPopularScanner) &amp; " Install"))
)</f>
        <v/>
      </c>
      <c r="M106" s="378" t="str">
        <f>IF(N("If it is Dendro or Tron, Do not Show Color Analysis Video")+
OR(AND(ROW(L106)&gt;=9,ROW(L106)&lt;=38),
AND(ROW(L106)&gt;=99,ROW(L106)&lt;=128)), "","☐ Video ClrAna")</f>
        <v/>
      </c>
      <c r="N106" s="379" t="str">
        <f>IF(OR(INT((ROW(D106)-10)/30)+1=2,INT((ROW(D106)-10)/30)+1=4),"","☐ ")&amp;
IF(INT((ROW(D106)-10)/30)+1=1,"Scanner.cal","")&amp;
IF(INT((ROW(D106)-10)/30)+1=2,"","")&amp;
IF(INT((ROW(D106)-10)/30)+1=3,"Scanner.cal","")&amp;
IF(INT((ROW(D106)-10)/30)+1=4,"","")&amp;
IF(INT((ROW(D106)-10)/30)+1=5,"Scanner.cal","")&amp;
IF(INT((ROW(D106)-10)/30)+1=6,"Scanner.cal","")&amp;
IF(INT((ROW(D106)-10)/30)+1=7,"Scanner.cal","")&amp;
IF(INT((ROW(D106)-10)/30)+1=8,"Indiv" &amp; " Lens.cal","")</f>
        <v/>
      </c>
      <c r="O106" s="307" t="str">
        <f>IF(AND(ROW(L106)&gt;=9,ROW(L106)&lt;=38),"☐ RegentTarget.blu","")</f>
        <v/>
      </c>
      <c r="P106" s="215"/>
      <c r="Q106" s="215"/>
    </row>
    <row r="107" spans="1:17" ht="24" customHeight="1" x14ac:dyDescent="0.2">
      <c r="A107" s="430" t="s">
        <v>259</v>
      </c>
      <c r="B107" s="224" t="s">
        <v>259</v>
      </c>
      <c r="C107" s="307" t="s">
        <v>152</v>
      </c>
      <c r="D107" s="307" t="str">
        <f xml:space="preserve"> IF(N("If it is Cam, Do not Show XL")+AND(ROW(D107)&gt;=189,ROW(D107)&lt;=218),"","☐ XL Man")</f>
        <v>☐ XL Man</v>
      </c>
      <c r="E107" s="437" t="str">
        <f>IF(N("Si OR dessous = vrai, pas de box")+OR(
N("1 OR Tron ou CELL")+OR(AND(ROW(K106)&gt;=39,ROW(K106)&lt;=68),AND(ROW(K106)&gt;=99,ROW(K106)&lt;=128)),
N("2 Pas de système scanopy and range opy")+AND(ROW(K106)&gt;=219,ROW(K106)&lt;=248,SCANOPY_N_System&lt;2),
N("3 Avec LC")&amp;IF(ISERROR(LEFT(J105,SEARCH("00",J105)-3)),"",LEFT(J105,SEARCH("00",J105)-3))="LC"),"","☐ ")
&amp;
IF(N("If it's OPY, put OMount Manual instead")+
AND(ROW(J106)&gt;=219,ROW(J106)&lt;=248),
IF(SCANOPY_N_System&gt;1,"OMount Man",""),
IF(N("If it is Cell or Tron, Do not Show Scanner related items")+OR(
AND(ROW(K106)&gt;=39,ROW(K106)&lt;=68),
AND(ROW(K106)&gt;=99,ROW(K106)&lt;=128)),
    "", IF(1=N("Si système a un scanner différent du Scanner populaire alors différent, sinon Scanner populaire")+AND(NOT(ISERROR(SEARCH("System",J105))),LEFT(J105,2)&lt;&gt;LEFT(PROD_MostPopularScanner,2)),
LEFT(J105,SEARCH("00",J105)-3),
PROD_MostPopularScanner) &amp; " Install Man"))</f>
        <v/>
      </c>
      <c r="F107" s="380" t="s">
        <v>275</v>
      </c>
      <c r="G107" s="307" t="s">
        <v>274</v>
      </c>
      <c r="H107" s="439" t="s">
        <v>250</v>
      </c>
      <c r="I107" s="381"/>
      <c r="J107" s="307" t="str">
        <f ca="1">IF(AND(
INDIRECT(
IF(INT((ROW(D107)-10)/30)+1=1,"DENDRO","")&amp;
IF(INT((ROW(D107)-10)/30)+1=2,"CELL","")&amp;
IF(INT((ROW(D107)-10)/30)+1=3,"RHIZO","")&amp;
IF(INT((ROW(D107)-10)/30)+1=4,"RHIZOTRON","")&amp;
IF(INT((ROW(D107)-10)/30)+1=5,"FOLIA","")&amp;
IF(INT((ROW(D107)-10)/30)+1=6,"SEEDLE","")&amp;
IF(INT((ROW(D107)-10)/30)+1=7,"CAM","")&amp;
IF(INT((ROW(D107)-10)/30)+1=8,"SCANOPY","") &amp; "_ChkB_RemoteUpdate"),
INDIRECT(
IF(INT((ROW(D107)-10)/30)+1=1,"DENDRO","")&amp;
IF(INT((ROW(D107)-10)/30)+1=2,"CELL","")&amp;
IF(INT((ROW(D107)-10)/30)+1=3,"RHIZO","")&amp;
IF(INT((ROW(D107)-10)/30)+1=4,"RHIZOTRON","")&amp;
IF(INT((ROW(D107)-10)/30)+1=5,"FOLIA","")&amp;
IF(INT((ROW(D107)-10)/30)+1=6,"SEEDLE","")&amp;
IF(INT((ROW(D107)-10)/30)+1=7,"CAM","")&amp;
IF(INT((ROW(D107)-10)/30)+1=8,"SCANOPY","") &amp; "_ChkBox_UpgradeUpdate")),
"Clé de bois ou Download. Reprogrammation clé client",
"☐ " &amp; IF(AND(QUOTE_Split_SoftwareHardware,QUOTE_InternetDownload),"Man ds env. ""Documents"", Clé ds bulle collée sur env.","Reliée au Man"))</f>
        <v>☐ Reliée au Man</v>
      </c>
      <c r="K107" s="265"/>
      <c r="L107" s="223"/>
      <c r="M107" s="439"/>
      <c r="N107" s="380"/>
      <c r="O107" s="307"/>
      <c r="P107" s="215"/>
      <c r="Q107" s="215"/>
    </row>
    <row r="108" spans="1:17" ht="16.25" customHeight="1" x14ac:dyDescent="0.2">
      <c r="A108" s="418"/>
      <c r="B108" s="293"/>
      <c r="C108" s="899" t="str">
        <f>IF((RHIZOTRON_N_UpgradeUpdate + RHIZOTRON_N_Software ) = 2,"",LEFT(INDEX(RHIZOTRON_SoftwareFullNames,RHIZOTRON_IndexSoftware),FIND(" ",INDEX(RHIZOTRON_SoftwareFullNames,RHIZOTRON_IndexSoftware),FIND(" ",INDEX(RHIZOTRON_SoftwareFullNames,RHIZOTRON_IndexSoftware))+8)) &amp;
RHIZOTRON_YearMostRecent)</f>
        <v/>
      </c>
      <c r="D108" s="899"/>
      <c r="E108" s="301"/>
      <c r="F108" s="301"/>
      <c r="G108" s="272" t="str">
        <f>IF(RHIZOTRON_OptionXL*(RHIZOTRON_N_Software+RHIZOTRON_N_UpgradeUpdate-2)&gt;=((ROW(G108)-ROW($G$99))/4+1),"XLRHIZOTRON "&amp; RHIZOTRON_YearMostRecent,"")</f>
        <v/>
      </c>
      <c r="H108" s="255"/>
      <c r="I108" s="255"/>
      <c r="J108" s="272" t="str">
        <f>IF(RHIZOTRON_N_Software-1&gt;=((ROW(G108)-ROW($G$99))/4+1),IF(N_SystemTotal=0,"Software Only",IF(N_STDScanners+N_LAScanners+N_LCScanners=0,"Software Sans Scanner","Software Avec Scanner")),
IF(RHIZOTRON_N_UpgradeUpdate-1&gt;=((ROW(G108)-ROW($G$99))/4+1)-(RHIZOTRON_N_Software-1),"Update",""))</f>
        <v/>
      </c>
      <c r="K108" s="255"/>
      <c r="L108" s="254"/>
      <c r="M108" s="254"/>
      <c r="N108" s="254"/>
      <c r="O108" s="215"/>
      <c r="P108" s="215"/>
      <c r="Q108" s="215"/>
    </row>
    <row r="109" spans="1:17" ht="24" customHeight="1" x14ac:dyDescent="0.2">
      <c r="A109" s="430" t="s">
        <v>258</v>
      </c>
      <c r="B109" s="287" t="s">
        <v>258</v>
      </c>
      <c r="C109" s="378" t="str">
        <f>IF(AND(QUOTE_Split_SoftwareHardware,QUOTE_InternetDownload),"",
"☐☐ Win" &amp;
IF(INT((ROW(D109)-10)/30)+1=1,"DEN","")&amp;
IF(INT((ROW(D109)-10)/30)+1=2,"CEL","")&amp;
IF(INT((ROW(D109)-10)/30)+1=3,"RHI","")&amp;
IF(INT((ROW(D109)-10)/30)+1=4,"RT","")&amp;
IF(INT((ROW(D109)-10)/30)+1=5,"FOL","")&amp;
IF(INT((ROW(D109)-10)/30)+1=6,"SEE","")&amp;
IF(INT((ROW(D109)-10)/30)+1=7,"CAM","")&amp;
IF(INT((ROW(D109)-10)/30)+1=8,"SCA","") &amp; ".exe")</f>
        <v>☐☐ WinRT.exe</v>
      </c>
      <c r="D109" s="378" t="str">
        <f>IF(AND(QUOTE_Split_SoftwareHardware,QUOTE_InternetDownload),"",
 IF(N("If it is Cam, Do not Show XL")+AND(ROW(D109)&gt;=189,ROW(D109)&lt;=218),"","☐ XL" &amp;
IF(INT((ROW(D109)-10)/30)+1=1,"STEM","")&amp;
IF(INT((ROW(D109)-10)/30)+1=2,"Cell","")&amp;
IF(INT((ROW(D109)-10)/30)+1=3,"Rhizo","")&amp;
IF(INT((ROW(D109)-10)/30)+1=4,"RhizoT","")&amp;
IF(INT((ROW(D109)-10)/30)+1=5,"Folia","")&amp;
IF(INT((ROW(D109)-10)/30)+1=6,"Seedle","")&amp;
IF(INT((ROW(D109)-10)/30)+1=7,"Cam","")&amp;
IF(INT((ROW(D109)-10)/30)+1=8,"Scanopy","") &amp; ".xls"))</f>
        <v>☐ XLRhizoT.xls</v>
      </c>
      <c r="E109" s="378" t="s">
        <v>299</v>
      </c>
      <c r="F109" s="379" t="s">
        <v>152</v>
      </c>
      <c r="G109" s="378" t="str">
        <f xml:space="preserve"> IF(N("If it is Cam, Do not Show XL")+AND(ROW(G109)&gt;=189,ROW(G109)&lt;=218),"","☐ XL Man")</f>
        <v>☐ XL Man</v>
      </c>
      <c r="H109" s="379" t="s">
        <v>280</v>
      </c>
      <c r="I109" s="307" t="s">
        <v>274</v>
      </c>
      <c r="J109" s="379" t="str">
        <f>IF(N("Si OR dessous = vrai, pas de box")+OR(
N("1 OR Tron ou CELL")+OR(AND(ROW(E109)&gt;=39,ROW(E109)&lt;=68),AND(ROW(E109)&gt;=99,ROW(E109)&lt;=128)),
N("2 Pas de système scanopy and range opy")+AND(ROW(E109)&gt;=219,ROW(E109)&lt;=248,SCANOPY_N_System&lt;2),
N("3 Avec LC") + IF(AND(IF(PROD_MostPopularScanner="LC",1,0), NOT(AND(ROW(E109)&gt;=129,ROW(E109)&lt;=158)), NOT(AND(ROW(E109)&gt;=189,ROW(E109)&lt;=218))),1,0)
),"","☐ ")
&amp;
IF(N("If it's OPY, put OMount Manual instead")+
AND(ROW(D109)&gt;=219,ROW(D109)&lt;=248),
IF(SCANOPY_N_System&gt;1,
IF(SCANOPY_IndexScanner=1,"α" &amp; SCANOPY_CameraModel,SCANOPY_CameraModel_Mini) &amp; " Man",""),
IF(N("Empty si OR = true . . .If it is Cell or Tron, Do not Show Scanner related items + Hide if LC is favorite on unavailable product")+OR(
AND(ROW(E109)&gt;=39,ROW(E109)&lt;=68),
AND(ROW(E109)&gt;=99,ROW(E109)&lt;=128),
AND(IF(PROD_MostPopularScanner="LC",1,0), NOT(AND(ROW(E109)&gt;=129,ROW(E109)&lt;=158)), NOT(AND(ROW(E109)&gt;=189,ROW(E109)&lt;=218))),
0=1),
    "", IF(1=N("Si système a un scanner différent du Scanner populaire alors différent, sinon Scanner populaire")+AND(NOT(ISERROR(SEARCH("System",J108))),LEFT(J108,2)&lt;&gt;LEFT(PROD_MostPopularScanner,2)),
LEFT(J108,SEARCH("00",J108)-3),
PROD_MostPopularScanner) &amp; " Install Man"))</f>
        <v/>
      </c>
      <c r="K109" s="378" t="str">
        <f>IF(N("If it is Cell or Tron or OPY, Do not Show Twain")+OR(AND(ROW(K109)&gt;=39,ROW(K109)&lt;=68),AND(ROW(K109)&gt;=99,ROW(K109)&lt;=128),AND(ROW(J109)&gt;=219,ROW(J109)&lt;=248)),"","☐ TWAIN")</f>
        <v/>
      </c>
      <c r="L109" s="379" t="str">
        <f>IF(AND(IF(PROD_MostPopularScanner="LC",1,0), NOT(AND(ROW(E109)&gt;=129,ROW(E109)&lt;=158)), NOT(AND(ROW(E109)&gt;=189,ROW(E109)&lt;=218))),"",
IF(N("Si OR dessous = vrai, pas de box")+OR(
N("1 OR Dendro+CELL, Tron+Folia,Cam")+OR(
AND(ROW(K109)&gt;=9,ROW(K109)&lt;=68),
AND(ROW(K109)&gt;=99,ROW(K109)&lt;=158),
AND(ROW(K109)&gt;=189,ROW(K109)&lt;=218)),
N("2 Pas de système scanopy and range opy")+AND(ROW(K109)&gt;=219,ROW(K109)&lt;=248,SCANOPY_N_System&lt;2),
N("3 Avec LC")&amp;IF(ISERROR(LEFT(J108,SEARCH("00",J108)-3)),"",LEFT(J108,SEARCH("00",J108)-3))="LC"),"","☐ ")
&amp;
IF(N("If it's OPY, put OMount Manual instead")+
AND(ROW(J109)&gt;=219,ROW(J109)&lt;=248),
IF(SCANOPY_N_System&gt;1,"OMount Man",""),
IF(N("If it is Dendro+CELL, Tron+Folia or Cam, Do not Show Scanner related items+No Video if LC")+OR(
AND(ROW(K109)&gt;=9,ROW(K109)&lt;=68),
AND(ROW(K109)&gt;=99,ROW(K109)&lt;=158),
AND(ROW(K109)&gt;=189,ROW(K109)&lt;=218),
IF(ISERROR(LEFT(J108,SEARCH("00",J108)-3)),"",LEFT(J108,SEARCH("00",J108)-3))="LC"),
    "", "Video " &amp; IF(1=N("Si système a un scanner différent du Scanner populaire alors différent, sinon Scanner populaire")+AND(NOT(ISERROR(SEARCH("System",J108))),LEFT(J108,2)&lt;&gt;LEFT(PROD_MostPopularScanner,2)),
LEFT(J108,SEARCH("00",J108)-3),
PROD_MostPopularScanner) &amp; " Install"))
)</f>
        <v/>
      </c>
      <c r="M109" s="378" t="str">
        <f>IF(N("If it is Dendro or Tron, Do not Show Color Analysis Video")+
OR(AND(ROW(L109)&gt;=9,ROW(L109)&lt;=38),
AND(ROW(L109)&gt;=99,ROW(L109)&lt;=128)), "","☐ Video ClrAna")</f>
        <v/>
      </c>
      <c r="N109" s="379" t="str">
        <f>IF(OR(INT((ROW(D109)-10)/30)+1=2,INT((ROW(D109)-10)/30)+1=4),"","☐ ")&amp;
IF(INT((ROW(D109)-10)/30)+1=1,"Scanner.cal","")&amp;
IF(INT((ROW(D109)-10)/30)+1=2,"","")&amp;
IF(INT((ROW(D109)-10)/30)+1=3,"Scanner.cal","")&amp;
IF(INT((ROW(D109)-10)/30)+1=4,"","")&amp;
IF(INT((ROW(D109)-10)/30)+1=5,"Scanner.cal","")&amp;
IF(INT((ROW(D109)-10)/30)+1=6,"Scanner.cal","")&amp;
IF(INT((ROW(D109)-10)/30)+1=7,"Scanner.cal","")&amp;
IF(INT((ROW(D109)-10)/30)+1=8,"Indiv" &amp; " Lens.cal","")</f>
        <v/>
      </c>
      <c r="O109" s="307" t="str">
        <f>IF(AND(ROW(L109)&gt;=9,ROW(L109)&lt;=38),"☐ RegentTarget.blu","")</f>
        <v/>
      </c>
      <c r="P109" s="215"/>
      <c r="Q109" s="215"/>
    </row>
    <row r="110" spans="1:17" ht="24" customHeight="1" x14ac:dyDescent="0.2">
      <c r="A110" s="430" t="s">
        <v>259</v>
      </c>
      <c r="B110" s="224" t="s">
        <v>259</v>
      </c>
      <c r="C110" s="307" t="s">
        <v>152</v>
      </c>
      <c r="D110" s="307" t="str">
        <f xml:space="preserve"> IF(N("If it is Cam, Do not Show XL")+AND(ROW(D110)&gt;=189,ROW(D110)&lt;=218),"","☐ XL Man")</f>
        <v>☐ XL Man</v>
      </c>
      <c r="E110" s="437" t="str">
        <f>IF(N("Si OR dessous = vrai, pas de box")+OR(
N("1 OR Tron ou CELL")+OR(AND(ROW(K109)&gt;=39,ROW(K109)&lt;=68),AND(ROW(K109)&gt;=99,ROW(K109)&lt;=128)),
N("2 Pas de système scanopy and range opy")+AND(ROW(K109)&gt;=219,ROW(K109)&lt;=248,SCANOPY_N_System&lt;2),
N("3 Avec LC")&amp;IF(ISERROR(LEFT(J108,SEARCH("00",J108)-3)),"",LEFT(J108,SEARCH("00",J108)-3))="LC"),"","☐ ")
&amp;
IF(N("If it's OPY, put OMount Manual instead")+
AND(ROW(J109)&gt;=219,ROW(J109)&lt;=248),
IF(SCANOPY_N_System&gt;1,"OMount Man",""),
IF(N("If it is Cell or Tron, Do not Show Scanner related items")+OR(
AND(ROW(K109)&gt;=39,ROW(K109)&lt;=68),
AND(ROW(K109)&gt;=99,ROW(K109)&lt;=128)),
    "", IF(1=N("Si système a un scanner différent du Scanner populaire alors différent, sinon Scanner populaire")+AND(NOT(ISERROR(SEARCH("System",J108))),LEFT(J108,2)&lt;&gt;LEFT(PROD_MostPopularScanner,2)),
LEFT(J108,SEARCH("00",J108)-3),
PROD_MostPopularScanner) &amp; " Install Man"))</f>
        <v/>
      </c>
      <c r="F110" s="380" t="s">
        <v>275</v>
      </c>
      <c r="G110" s="307" t="s">
        <v>274</v>
      </c>
      <c r="H110" s="439" t="s">
        <v>250</v>
      </c>
      <c r="I110" s="381"/>
      <c r="J110" s="307" t="str">
        <f ca="1">IF(AND(
INDIRECT(
IF(INT((ROW(D110)-10)/30)+1=1,"DENDRO","")&amp;
IF(INT((ROW(D110)-10)/30)+1=2,"CELL","")&amp;
IF(INT((ROW(D110)-10)/30)+1=3,"RHIZO","")&amp;
IF(INT((ROW(D110)-10)/30)+1=4,"RHIZOTRON","")&amp;
IF(INT((ROW(D110)-10)/30)+1=5,"FOLIA","")&amp;
IF(INT((ROW(D110)-10)/30)+1=6,"SEEDLE","")&amp;
IF(INT((ROW(D110)-10)/30)+1=7,"CAM","")&amp;
IF(INT((ROW(D110)-10)/30)+1=8,"SCANOPY","") &amp; "_ChkB_RemoteUpdate"),
INDIRECT(
IF(INT((ROW(D110)-10)/30)+1=1,"DENDRO","")&amp;
IF(INT((ROW(D110)-10)/30)+1=2,"CELL","")&amp;
IF(INT((ROW(D110)-10)/30)+1=3,"RHIZO","")&amp;
IF(INT((ROW(D110)-10)/30)+1=4,"RHIZOTRON","")&amp;
IF(INT((ROW(D110)-10)/30)+1=5,"FOLIA","")&amp;
IF(INT((ROW(D110)-10)/30)+1=6,"SEEDLE","")&amp;
IF(INT((ROW(D110)-10)/30)+1=7,"CAM","")&amp;
IF(INT((ROW(D110)-10)/30)+1=8,"SCANOPY","") &amp; "_ChkBox_UpgradeUpdate")),
"Clé de bois ou Download. Reprogrammation clé client",
"☐ " &amp; IF(AND(QUOTE_Split_SoftwareHardware,QUOTE_InternetDownload),"Man ds env. ""Documents"", Clé ds bulle collée sur env.","Reliée au Man"))</f>
        <v>☐ Reliée au Man</v>
      </c>
      <c r="K110" s="265"/>
      <c r="L110" s="223"/>
      <c r="M110" s="439"/>
      <c r="N110" s="380"/>
      <c r="O110" s="307"/>
      <c r="P110" s="215"/>
      <c r="Q110" s="215"/>
    </row>
    <row r="111" spans="1:17" ht="16.25" customHeight="1" x14ac:dyDescent="0.2">
      <c r="A111" s="418"/>
      <c r="B111" s="293"/>
      <c r="C111" s="899" t="str">
        <f>IF((RHIZOTRON_N_UpgradeUpdate + RHIZOTRON_N_Software ) = 2,"",LEFT(INDEX(RHIZOTRON_SoftwareFullNames,RHIZOTRON_IndexSoftware),FIND(" ",INDEX(RHIZOTRON_SoftwareFullNames,RHIZOTRON_IndexSoftware),FIND(" ",INDEX(RHIZOTRON_SoftwareFullNames,RHIZOTRON_IndexSoftware))+8)) &amp;
RHIZOTRON_YearMostRecent)</f>
        <v/>
      </c>
      <c r="D111" s="899"/>
      <c r="E111" s="301"/>
      <c r="F111" s="301"/>
      <c r="G111" s="272" t="str">
        <f>IF(RHIZOTRON_OptionXL*(RHIZOTRON_N_Software+RHIZOTRON_N_UpgradeUpdate-2)&gt;=((ROW(G111)-ROW($G$99))/4+1),"XLRHIZOTRON "&amp; RHIZOTRON_YearMostRecent,"")</f>
        <v/>
      </c>
      <c r="H111" s="255"/>
      <c r="I111" s="255"/>
      <c r="J111" s="272" t="str">
        <f>IF(RHIZOTRON_N_Software-1&gt;=((ROW(G111)-ROW($G$99))/4+1),IF(N_SystemTotal=0,"Software Only",IF(N_STDScanners+N_LAScanners+N_LCScanners=0,"Software Sans Scanner","Software Avec Scanner")),
IF(RHIZOTRON_N_UpgradeUpdate-1&gt;=((ROW(G111)-ROW($G$99))/4+1)-(RHIZOTRON_N_Software-1),"Update",""))</f>
        <v/>
      </c>
      <c r="K111" s="255"/>
      <c r="L111" s="254"/>
      <c r="M111" s="254"/>
      <c r="N111" s="254"/>
      <c r="O111" s="215"/>
      <c r="P111" s="215"/>
      <c r="Q111" s="215"/>
    </row>
    <row r="112" spans="1:17" ht="24" customHeight="1" x14ac:dyDescent="0.2">
      <c r="A112" s="430" t="s">
        <v>258</v>
      </c>
      <c r="B112" s="287" t="s">
        <v>258</v>
      </c>
      <c r="C112" s="378" t="str">
        <f>IF(AND(QUOTE_Split_SoftwareHardware,QUOTE_InternetDownload),"",
"☐☐ Win" &amp;
IF(INT((ROW(D112)-10)/30)+1=1,"DEN","")&amp;
IF(INT((ROW(D112)-10)/30)+1=2,"CEL","")&amp;
IF(INT((ROW(D112)-10)/30)+1=3,"RHI","")&amp;
IF(INT((ROW(D112)-10)/30)+1=4,"RT","")&amp;
IF(INT((ROW(D112)-10)/30)+1=5,"FOL","")&amp;
IF(INT((ROW(D112)-10)/30)+1=6,"SEE","")&amp;
IF(INT((ROW(D112)-10)/30)+1=7,"CAM","")&amp;
IF(INT((ROW(D112)-10)/30)+1=8,"SCA","") &amp; ".exe")</f>
        <v>☐☐ WinRT.exe</v>
      </c>
      <c r="D112" s="378" t="str">
        <f>IF(AND(QUOTE_Split_SoftwareHardware,QUOTE_InternetDownload),"",
 IF(N("If it is Cam, Do not Show XL")+AND(ROW(D112)&gt;=189,ROW(D112)&lt;=218),"","☐ XL" &amp;
IF(INT((ROW(D112)-10)/30)+1=1,"STEM","")&amp;
IF(INT((ROW(D112)-10)/30)+1=2,"Cell","")&amp;
IF(INT((ROW(D112)-10)/30)+1=3,"Rhizo","")&amp;
IF(INT((ROW(D112)-10)/30)+1=4,"RhizoT","")&amp;
IF(INT((ROW(D112)-10)/30)+1=5,"Folia","")&amp;
IF(INT((ROW(D112)-10)/30)+1=6,"Seedle","")&amp;
IF(INT((ROW(D112)-10)/30)+1=7,"Cam","")&amp;
IF(INT((ROW(D112)-10)/30)+1=8,"Scanopy","") &amp; ".xls"))</f>
        <v>☐ XLRhizoT.xls</v>
      </c>
      <c r="E112" s="378" t="s">
        <v>299</v>
      </c>
      <c r="F112" s="379" t="s">
        <v>152</v>
      </c>
      <c r="G112" s="378" t="str">
        <f xml:space="preserve"> IF(N("If it is Cam, Do not Show XL")+AND(ROW(G112)&gt;=189,ROW(G112)&lt;=218),"","☐ XL Man")</f>
        <v>☐ XL Man</v>
      </c>
      <c r="H112" s="379" t="s">
        <v>280</v>
      </c>
      <c r="I112" s="307" t="s">
        <v>274</v>
      </c>
      <c r="J112" s="379" t="str">
        <f>IF(N("Si OR dessous = vrai, pas de box")+OR(
N("1 OR Tron ou CELL")+OR(AND(ROW(E112)&gt;=39,ROW(E112)&lt;=68),AND(ROW(E112)&gt;=99,ROW(E112)&lt;=128)),
N("2 Pas de système scanopy and range opy")+AND(ROW(E112)&gt;=219,ROW(E112)&lt;=248,SCANOPY_N_System&lt;2),
N("3 Avec LC") + IF(AND(IF(PROD_MostPopularScanner="LC",1,0), NOT(AND(ROW(E112)&gt;=129,ROW(E112)&lt;=158)), NOT(AND(ROW(E112)&gt;=189,ROW(E112)&lt;=218))),1,0)
),"","☐ ")
&amp;
IF(N("If it's OPY, put OMount Manual instead")+
AND(ROW(D112)&gt;=219,ROW(D112)&lt;=248),
IF(SCANOPY_N_System&gt;1,
IF(SCANOPY_IndexScanner=1,"α" &amp; SCANOPY_CameraModel,SCANOPY_CameraModel_Mini) &amp; " Man",""),
IF(N("Empty si OR = true . . .If it is Cell or Tron, Do not Show Scanner related items + Hide if LC is favorite on unavailable product")+OR(
AND(ROW(E112)&gt;=39,ROW(E112)&lt;=68),
AND(ROW(E112)&gt;=99,ROW(E112)&lt;=128),
AND(IF(PROD_MostPopularScanner="LC",1,0), NOT(AND(ROW(E112)&gt;=129,ROW(E112)&lt;=158)), NOT(AND(ROW(E112)&gt;=189,ROW(E112)&lt;=218))),
0=1),
    "", IF(1=N("Si système a un scanner différent du Scanner populaire alors différent, sinon Scanner populaire")+AND(NOT(ISERROR(SEARCH("System",J111))),LEFT(J111,2)&lt;&gt;LEFT(PROD_MostPopularScanner,2)),
LEFT(J111,SEARCH("00",J111)-3),
PROD_MostPopularScanner) &amp; " Install Man"))</f>
        <v/>
      </c>
      <c r="K112" s="378" t="str">
        <f>IF(N("If it is Cell or Tron or OPY, Do not Show Twain")+OR(AND(ROW(K112)&gt;=39,ROW(K112)&lt;=68),AND(ROW(K112)&gt;=99,ROW(K112)&lt;=128),AND(ROW(J112)&gt;=219,ROW(J112)&lt;=248)),"","☐ TWAIN")</f>
        <v/>
      </c>
      <c r="L112" s="379" t="str">
        <f>IF(AND(IF(PROD_MostPopularScanner="LC",1,0), NOT(AND(ROW(E112)&gt;=129,ROW(E112)&lt;=158)), NOT(AND(ROW(E112)&gt;=189,ROW(E112)&lt;=218))),"",
IF(N("Si OR dessous = vrai, pas de box")+OR(
N("1 OR Dendro+CELL, Tron+Folia,Cam")+OR(
AND(ROW(K112)&gt;=9,ROW(K112)&lt;=68),
AND(ROW(K112)&gt;=99,ROW(K112)&lt;=158),
AND(ROW(K112)&gt;=189,ROW(K112)&lt;=218)),
N("2 Pas de système scanopy and range opy")+AND(ROW(K112)&gt;=219,ROW(K112)&lt;=248,SCANOPY_N_System&lt;2),
N("3 Avec LC")&amp;IF(ISERROR(LEFT(J111,SEARCH("00",J111)-3)),"",LEFT(J111,SEARCH("00",J111)-3))="LC"),"","☐ ")
&amp;
IF(N("If it's OPY, put OMount Manual instead")+
AND(ROW(J112)&gt;=219,ROW(J112)&lt;=248),
IF(SCANOPY_N_System&gt;1,"OMount Man",""),
IF(N("If it is Dendro+CELL, Tron+Folia or Cam, Do not Show Scanner related items+No Video if LC")+OR(
AND(ROW(K112)&gt;=9,ROW(K112)&lt;=68),
AND(ROW(K112)&gt;=99,ROW(K112)&lt;=158),
AND(ROW(K112)&gt;=189,ROW(K112)&lt;=218),
IF(ISERROR(LEFT(J111,SEARCH("00",J111)-3)),"",LEFT(J111,SEARCH("00",J111)-3))="LC"),
    "", "Video " &amp; IF(1=N("Si système a un scanner différent du Scanner populaire alors différent, sinon Scanner populaire")+AND(NOT(ISERROR(SEARCH("System",J111))),LEFT(J111,2)&lt;&gt;LEFT(PROD_MostPopularScanner,2)),
LEFT(J111,SEARCH("00",J111)-3),
PROD_MostPopularScanner) &amp; " Install"))
)</f>
        <v/>
      </c>
      <c r="M112" s="378" t="str">
        <f>IF(N("If it is Dendro or Tron, Do not Show Color Analysis Video")+
OR(AND(ROW(L112)&gt;=9,ROW(L112)&lt;=38),
AND(ROW(L112)&gt;=99,ROW(L112)&lt;=128)), "","☐ Video ClrAna")</f>
        <v/>
      </c>
      <c r="N112" s="379" t="str">
        <f>IF(OR(INT((ROW(D112)-10)/30)+1=2,INT((ROW(D112)-10)/30)+1=4),"","☐ ")&amp;
IF(INT((ROW(D112)-10)/30)+1=1,"Scanner.cal","")&amp;
IF(INT((ROW(D112)-10)/30)+1=2,"","")&amp;
IF(INT((ROW(D112)-10)/30)+1=3,"Scanner.cal","")&amp;
IF(INT((ROW(D112)-10)/30)+1=4,"","")&amp;
IF(INT((ROW(D112)-10)/30)+1=5,"Scanner.cal","")&amp;
IF(INT((ROW(D112)-10)/30)+1=6,"Scanner.cal","")&amp;
IF(INT((ROW(D112)-10)/30)+1=7,"Scanner.cal","")&amp;
IF(INT((ROW(D112)-10)/30)+1=8,"Indiv" &amp; " Lens.cal","")</f>
        <v/>
      </c>
      <c r="O112" s="307" t="str">
        <f>IF(AND(ROW(L112)&gt;=9,ROW(L112)&lt;=38),"☐ RegentTarget.blu","")</f>
        <v/>
      </c>
      <c r="P112" s="215"/>
      <c r="Q112" s="215"/>
    </row>
    <row r="113" spans="1:17" ht="24" customHeight="1" x14ac:dyDescent="0.2">
      <c r="A113" s="430" t="s">
        <v>259</v>
      </c>
      <c r="B113" s="224" t="s">
        <v>259</v>
      </c>
      <c r="C113" s="307" t="s">
        <v>152</v>
      </c>
      <c r="D113" s="307" t="str">
        <f xml:space="preserve"> IF(N("If it is Cam, Do not Show XL")+AND(ROW(D113)&gt;=189,ROW(D113)&lt;=218),"","☐ XL Man")</f>
        <v>☐ XL Man</v>
      </c>
      <c r="E113" s="437" t="str">
        <f>IF(N("Si OR dessous = vrai, pas de box")+OR(
N("1 OR Tron ou CELL")+OR(AND(ROW(K112)&gt;=39,ROW(K112)&lt;=68),AND(ROW(K112)&gt;=99,ROW(K112)&lt;=128)),
N("2 Pas de système scanopy and range opy")+AND(ROW(K112)&gt;=219,ROW(K112)&lt;=248,SCANOPY_N_System&lt;2),
N("3 Avec LC")&amp;IF(ISERROR(LEFT(J111,SEARCH("00",J111)-3)),"",LEFT(J111,SEARCH("00",J111)-3))="LC"),"","☐ ")
&amp;
IF(N("If it's OPY, put OMount Manual instead")+
AND(ROW(J112)&gt;=219,ROW(J112)&lt;=248),
IF(SCANOPY_N_System&gt;1,"OMount Man",""),
IF(N("If it is Cell or Tron, Do not Show Scanner related items")+OR(
AND(ROW(K112)&gt;=39,ROW(K112)&lt;=68),
AND(ROW(K112)&gt;=99,ROW(K112)&lt;=128)),
    "", IF(1=N("Si système a un scanner différent du Scanner populaire alors différent, sinon Scanner populaire")+AND(NOT(ISERROR(SEARCH("System",J111))),LEFT(J111,2)&lt;&gt;LEFT(PROD_MostPopularScanner,2)),
LEFT(J111,SEARCH("00",J111)-3),
PROD_MostPopularScanner) &amp; " Install Man"))</f>
        <v/>
      </c>
      <c r="F113" s="380" t="s">
        <v>275</v>
      </c>
      <c r="G113" s="307" t="s">
        <v>274</v>
      </c>
      <c r="H113" s="439" t="s">
        <v>250</v>
      </c>
      <c r="I113" s="381"/>
      <c r="J113" s="307" t="str">
        <f ca="1">IF(AND(
INDIRECT(
IF(INT((ROW(D113)-10)/30)+1=1,"DENDRO","")&amp;
IF(INT((ROW(D113)-10)/30)+1=2,"CELL","")&amp;
IF(INT((ROW(D113)-10)/30)+1=3,"RHIZO","")&amp;
IF(INT((ROW(D113)-10)/30)+1=4,"RHIZOTRON","")&amp;
IF(INT((ROW(D113)-10)/30)+1=5,"FOLIA","")&amp;
IF(INT((ROW(D113)-10)/30)+1=6,"SEEDLE","")&amp;
IF(INT((ROW(D113)-10)/30)+1=7,"CAM","")&amp;
IF(INT((ROW(D113)-10)/30)+1=8,"SCANOPY","") &amp; "_ChkB_RemoteUpdate"),
INDIRECT(
IF(INT((ROW(D113)-10)/30)+1=1,"DENDRO","")&amp;
IF(INT((ROW(D113)-10)/30)+1=2,"CELL","")&amp;
IF(INT((ROW(D113)-10)/30)+1=3,"RHIZO","")&amp;
IF(INT((ROW(D113)-10)/30)+1=4,"RHIZOTRON","")&amp;
IF(INT((ROW(D113)-10)/30)+1=5,"FOLIA","")&amp;
IF(INT((ROW(D113)-10)/30)+1=6,"SEEDLE","")&amp;
IF(INT((ROW(D113)-10)/30)+1=7,"CAM","")&amp;
IF(INT((ROW(D113)-10)/30)+1=8,"SCANOPY","") &amp; "_ChkBox_UpgradeUpdate")),
"Clé de bois ou Download. Reprogrammation clé client",
"☐ " &amp; IF(AND(QUOTE_Split_SoftwareHardware,QUOTE_InternetDownload),"Man ds env. ""Documents"", Clé ds bulle collée sur env.","Reliée au Man"))</f>
        <v>☐ Reliée au Man</v>
      </c>
      <c r="K113" s="265"/>
      <c r="L113" s="223"/>
      <c r="M113" s="439"/>
      <c r="N113" s="380"/>
      <c r="O113" s="307"/>
      <c r="P113" s="215"/>
      <c r="Q113" s="215"/>
    </row>
    <row r="114" spans="1:17" ht="16.25" customHeight="1" x14ac:dyDescent="0.2">
      <c r="A114" s="418"/>
      <c r="B114" s="293"/>
      <c r="C114" s="899" t="str">
        <f>IF((RHIZOTRON_N_UpgradeUpdate + RHIZOTRON_N_Software ) = 2,"",LEFT(INDEX(RHIZOTRON_SoftwareFullNames,RHIZOTRON_IndexSoftware),FIND(" ",INDEX(RHIZOTRON_SoftwareFullNames,RHIZOTRON_IndexSoftware),FIND(" ",INDEX(RHIZOTRON_SoftwareFullNames,RHIZOTRON_IndexSoftware))+8)) &amp;
RHIZOTRON_YearMostRecent)</f>
        <v/>
      </c>
      <c r="D114" s="899"/>
      <c r="E114" s="301"/>
      <c r="F114" s="301"/>
      <c r="G114" s="272" t="str">
        <f>IF(RHIZOTRON_OptionXL*(RHIZOTRON_N_Software+RHIZOTRON_N_UpgradeUpdate-2)&gt;=((ROW(G114)-ROW($G$99))/4+1),"XLRHIZOTRON "&amp; RHIZOTRON_YearMostRecent,"")</f>
        <v/>
      </c>
      <c r="H114" s="255"/>
      <c r="I114" s="255"/>
      <c r="J114" s="272" t="str">
        <f>IF(RHIZOTRON_N_Software-1&gt;=((ROW(G114)-ROW($G$99))/4+1),IF(N_SystemTotal=0,"Software Only",IF(N_STDScanners+N_LAScanners+N_LCScanners=0,"Software Sans Scanner","Software Avec Scanner")),
IF(RHIZOTRON_N_UpgradeUpdate-1&gt;=((ROW(G114)-ROW($G$99))/4+1)-(RHIZOTRON_N_Software-1),"Update",""))</f>
        <v/>
      </c>
      <c r="K114" s="255"/>
      <c r="L114" s="254"/>
      <c r="M114" s="254"/>
      <c r="N114" s="254"/>
      <c r="O114" s="215"/>
      <c r="P114" s="215"/>
      <c r="Q114" s="215"/>
    </row>
    <row r="115" spans="1:17" ht="24" customHeight="1" x14ac:dyDescent="0.2">
      <c r="A115" s="430" t="s">
        <v>258</v>
      </c>
      <c r="B115" s="287" t="s">
        <v>258</v>
      </c>
      <c r="C115" s="378" t="str">
        <f>IF(AND(QUOTE_Split_SoftwareHardware,QUOTE_InternetDownload),"",
"☐☐ Win" &amp;
IF(INT((ROW(D115)-10)/30)+1=1,"DEN","")&amp;
IF(INT((ROW(D115)-10)/30)+1=2,"CEL","")&amp;
IF(INT((ROW(D115)-10)/30)+1=3,"RHI","")&amp;
IF(INT((ROW(D115)-10)/30)+1=4,"RT","")&amp;
IF(INT((ROW(D115)-10)/30)+1=5,"FOL","")&amp;
IF(INT((ROW(D115)-10)/30)+1=6,"SEE","")&amp;
IF(INT((ROW(D115)-10)/30)+1=7,"CAM","")&amp;
IF(INT((ROW(D115)-10)/30)+1=8,"SCA","") &amp; ".exe")</f>
        <v>☐☐ WinRT.exe</v>
      </c>
      <c r="D115" s="378" t="str">
        <f>IF(AND(QUOTE_Split_SoftwareHardware,QUOTE_InternetDownload),"",
 IF(N("If it is Cam, Do not Show XL")+AND(ROW(D115)&gt;=189,ROW(D115)&lt;=218),"","☐ XL" &amp;
IF(INT((ROW(D115)-10)/30)+1=1,"STEM","")&amp;
IF(INT((ROW(D115)-10)/30)+1=2,"Cell","")&amp;
IF(INT((ROW(D115)-10)/30)+1=3,"Rhizo","")&amp;
IF(INT((ROW(D115)-10)/30)+1=4,"RhizoT","")&amp;
IF(INT((ROW(D115)-10)/30)+1=5,"Folia","")&amp;
IF(INT((ROW(D115)-10)/30)+1=6,"Seedle","")&amp;
IF(INT((ROW(D115)-10)/30)+1=7,"Cam","")&amp;
IF(INT((ROW(D115)-10)/30)+1=8,"Scanopy","") &amp; ".xls"))</f>
        <v>☐ XLRhizoT.xls</v>
      </c>
      <c r="E115" s="378" t="s">
        <v>299</v>
      </c>
      <c r="F115" s="379" t="s">
        <v>152</v>
      </c>
      <c r="G115" s="378" t="str">
        <f xml:space="preserve"> IF(N("If it is Cam, Do not Show XL")+AND(ROW(G115)&gt;=189,ROW(G115)&lt;=218),"","☐ XL Man")</f>
        <v>☐ XL Man</v>
      </c>
      <c r="H115" s="379" t="s">
        <v>280</v>
      </c>
      <c r="I115" s="307" t="s">
        <v>274</v>
      </c>
      <c r="J115" s="379" t="str">
        <f>IF(N("Si OR dessous = vrai, pas de box")+OR(
N("1 OR Tron ou CELL")+OR(AND(ROW(E115)&gt;=39,ROW(E115)&lt;=68),AND(ROW(E115)&gt;=99,ROW(E115)&lt;=128)),
N("2 Pas de système scanopy and range opy")+AND(ROW(E115)&gt;=219,ROW(E115)&lt;=248,SCANOPY_N_System&lt;2),
N("3 Avec LC") + IF(AND(IF(PROD_MostPopularScanner="LC",1,0), NOT(AND(ROW(E115)&gt;=129,ROW(E115)&lt;=158)), NOT(AND(ROW(E115)&gt;=189,ROW(E115)&lt;=218))),1,0)
),"","☐ ")
&amp;
IF(N("If it's OPY, put OMount Manual instead")+
AND(ROW(D115)&gt;=219,ROW(D115)&lt;=248),
IF(SCANOPY_N_System&gt;1,
IF(SCANOPY_IndexScanner=1,"α" &amp; SCANOPY_CameraModel,SCANOPY_CameraModel_Mini) &amp; " Man",""),
IF(N("Empty si OR = true . . .If it is Cell or Tron, Do not Show Scanner related items + Hide if LC is favorite on unavailable product")+OR(
AND(ROW(E115)&gt;=39,ROW(E115)&lt;=68),
AND(ROW(E115)&gt;=99,ROW(E115)&lt;=128),
AND(IF(PROD_MostPopularScanner="LC",1,0), NOT(AND(ROW(E115)&gt;=129,ROW(E115)&lt;=158)), NOT(AND(ROW(E115)&gt;=189,ROW(E115)&lt;=218))),
0=1),
    "", IF(1=N("Si système a un scanner différent du Scanner populaire alors différent, sinon Scanner populaire")+AND(NOT(ISERROR(SEARCH("System",J114))),LEFT(J114,2)&lt;&gt;LEFT(PROD_MostPopularScanner,2)),
LEFT(J114,SEARCH("00",J114)-3),
PROD_MostPopularScanner) &amp; " Install Man"))</f>
        <v/>
      </c>
      <c r="K115" s="378" t="str">
        <f>IF(N("If it is Cell or Tron or OPY, Do not Show Twain")+OR(AND(ROW(K115)&gt;=39,ROW(K115)&lt;=68),AND(ROW(K115)&gt;=99,ROW(K115)&lt;=128),AND(ROW(J115)&gt;=219,ROW(J115)&lt;=248)),"","☐ TWAIN")</f>
        <v/>
      </c>
      <c r="L115" s="379" t="str">
        <f>IF(AND(IF(PROD_MostPopularScanner="LC",1,0), NOT(AND(ROW(E115)&gt;=129,ROW(E115)&lt;=158)), NOT(AND(ROW(E115)&gt;=189,ROW(E115)&lt;=218))),"",
IF(N("Si OR dessous = vrai, pas de box")+OR(
N("1 OR Dendro+CELL, Tron+Folia,Cam")+OR(
AND(ROW(K115)&gt;=9,ROW(K115)&lt;=68),
AND(ROW(K115)&gt;=99,ROW(K115)&lt;=158),
AND(ROW(K115)&gt;=189,ROW(K115)&lt;=218)),
N("2 Pas de système scanopy and range opy")+AND(ROW(K115)&gt;=219,ROW(K115)&lt;=248,SCANOPY_N_System&lt;2),
N("3 Avec LC")&amp;IF(ISERROR(LEFT(J114,SEARCH("00",J114)-3)),"",LEFT(J114,SEARCH("00",J114)-3))="LC"),"","☐ ")
&amp;
IF(N("If it's OPY, put OMount Manual instead")+
AND(ROW(J115)&gt;=219,ROW(J115)&lt;=248),
IF(SCANOPY_N_System&gt;1,"OMount Man",""),
IF(N("If it is Dendro+CELL, Tron+Folia or Cam, Do not Show Scanner related items+No Video if LC")+OR(
AND(ROW(K115)&gt;=9,ROW(K115)&lt;=68),
AND(ROW(K115)&gt;=99,ROW(K115)&lt;=158),
AND(ROW(K115)&gt;=189,ROW(K115)&lt;=218),
IF(ISERROR(LEFT(J114,SEARCH("00",J114)-3)),"",LEFT(J114,SEARCH("00",J114)-3))="LC"),
    "", "Video " &amp; IF(1=N("Si système a un scanner différent du Scanner populaire alors différent, sinon Scanner populaire")+AND(NOT(ISERROR(SEARCH("System",J114))),LEFT(J114,2)&lt;&gt;LEFT(PROD_MostPopularScanner,2)),
LEFT(J114,SEARCH("00",J114)-3),
PROD_MostPopularScanner) &amp; " Install"))
)</f>
        <v/>
      </c>
      <c r="M115" s="378" t="str">
        <f>IF(N("If it is Dendro or Tron, Do not Show Color Analysis Video")+
OR(AND(ROW(L115)&gt;=9,ROW(L115)&lt;=38),
AND(ROW(L115)&gt;=99,ROW(L115)&lt;=128)), "","☐ Video ClrAna")</f>
        <v/>
      </c>
      <c r="N115" s="379" t="str">
        <f>IF(OR(INT((ROW(D115)-10)/30)+1=2,INT((ROW(D115)-10)/30)+1=4),"","☐ ")&amp;
IF(INT((ROW(D115)-10)/30)+1=1,"Scanner.cal","")&amp;
IF(INT((ROW(D115)-10)/30)+1=2,"","")&amp;
IF(INT((ROW(D115)-10)/30)+1=3,"Scanner.cal","")&amp;
IF(INT((ROW(D115)-10)/30)+1=4,"","")&amp;
IF(INT((ROW(D115)-10)/30)+1=5,"Scanner.cal","")&amp;
IF(INT((ROW(D115)-10)/30)+1=6,"Scanner.cal","")&amp;
IF(INT((ROW(D115)-10)/30)+1=7,"Scanner.cal","")&amp;
IF(INT((ROW(D115)-10)/30)+1=8,"Indiv" &amp; " Lens.cal","")</f>
        <v/>
      </c>
      <c r="O115" s="307" t="str">
        <f>IF(AND(ROW(L115)&gt;=9,ROW(L115)&lt;=38),"☐ RegentTarget.blu","")</f>
        <v/>
      </c>
      <c r="P115" s="215"/>
      <c r="Q115" s="215"/>
    </row>
    <row r="116" spans="1:17" ht="24" customHeight="1" x14ac:dyDescent="0.2">
      <c r="A116" s="430" t="s">
        <v>259</v>
      </c>
      <c r="B116" s="224" t="s">
        <v>259</v>
      </c>
      <c r="C116" s="307" t="s">
        <v>152</v>
      </c>
      <c r="D116" s="307" t="str">
        <f xml:space="preserve"> IF(N("If it is Cam, Do not Show XL")+AND(ROW(D116)&gt;=189,ROW(D116)&lt;=218),"","☐ XL Man")</f>
        <v>☐ XL Man</v>
      </c>
      <c r="E116" s="437" t="str">
        <f>IF(N("Si OR dessous = vrai, pas de box")+OR(
N("1 OR Tron ou CELL")+OR(AND(ROW(K115)&gt;=39,ROW(K115)&lt;=68),AND(ROW(K115)&gt;=99,ROW(K115)&lt;=128)),
N("2 Pas de système scanopy and range opy")+AND(ROW(K115)&gt;=219,ROW(K115)&lt;=248,SCANOPY_N_System&lt;2),
N("3 Avec LC")&amp;IF(ISERROR(LEFT(J114,SEARCH("00",J114)-3)),"",LEFT(J114,SEARCH("00",J114)-3))="LC"),"","☐ ")
&amp;
IF(N("If it's OPY, put OMount Manual instead")+
AND(ROW(J115)&gt;=219,ROW(J115)&lt;=248),
IF(SCANOPY_N_System&gt;1,"OMount Man",""),
IF(N("If it is Cell or Tron, Do not Show Scanner related items")+OR(
AND(ROW(K115)&gt;=39,ROW(K115)&lt;=68),
AND(ROW(K115)&gt;=99,ROW(K115)&lt;=128)),
    "", IF(1=N("Si système a un scanner différent du Scanner populaire alors différent, sinon Scanner populaire")+AND(NOT(ISERROR(SEARCH("System",J114))),LEFT(J114,2)&lt;&gt;LEFT(PROD_MostPopularScanner,2)),
LEFT(J114,SEARCH("00",J114)-3),
PROD_MostPopularScanner) &amp; " Install Man"))</f>
        <v/>
      </c>
      <c r="F116" s="380" t="s">
        <v>275</v>
      </c>
      <c r="G116" s="307" t="s">
        <v>274</v>
      </c>
      <c r="H116" s="439" t="s">
        <v>250</v>
      </c>
      <c r="I116" s="381"/>
      <c r="J116" s="307" t="str">
        <f ca="1">IF(AND(
INDIRECT(
IF(INT((ROW(D116)-10)/30)+1=1,"DENDRO","")&amp;
IF(INT((ROW(D116)-10)/30)+1=2,"CELL","")&amp;
IF(INT((ROW(D116)-10)/30)+1=3,"RHIZO","")&amp;
IF(INT((ROW(D116)-10)/30)+1=4,"RHIZOTRON","")&amp;
IF(INT((ROW(D116)-10)/30)+1=5,"FOLIA","")&amp;
IF(INT((ROW(D116)-10)/30)+1=6,"SEEDLE","")&amp;
IF(INT((ROW(D116)-10)/30)+1=7,"CAM","")&amp;
IF(INT((ROW(D116)-10)/30)+1=8,"SCANOPY","") &amp; "_ChkB_RemoteUpdate"),
INDIRECT(
IF(INT((ROW(D116)-10)/30)+1=1,"DENDRO","")&amp;
IF(INT((ROW(D116)-10)/30)+1=2,"CELL","")&amp;
IF(INT((ROW(D116)-10)/30)+1=3,"RHIZO","")&amp;
IF(INT((ROW(D116)-10)/30)+1=4,"RHIZOTRON","")&amp;
IF(INT((ROW(D116)-10)/30)+1=5,"FOLIA","")&amp;
IF(INT((ROW(D116)-10)/30)+1=6,"SEEDLE","")&amp;
IF(INT((ROW(D116)-10)/30)+1=7,"CAM","")&amp;
IF(INT((ROW(D116)-10)/30)+1=8,"SCANOPY","") &amp; "_ChkBox_UpgradeUpdate")),
"Clé de bois ou Download. Reprogrammation clé client",
"☐ " &amp; IF(AND(QUOTE_Split_SoftwareHardware,QUOTE_InternetDownload),"Man ds env. ""Documents"", Clé ds bulle collée sur env.","Reliée au Man"))</f>
        <v>☐ Reliée au Man</v>
      </c>
      <c r="K116" s="265"/>
      <c r="L116" s="223"/>
      <c r="M116" s="439"/>
      <c r="N116" s="380"/>
      <c r="O116" s="307"/>
      <c r="P116" s="215"/>
      <c r="Q116" s="215"/>
    </row>
    <row r="117" spans="1:17" ht="16.25" customHeight="1" x14ac:dyDescent="0.2">
      <c r="A117" s="418"/>
      <c r="B117" s="293"/>
      <c r="C117" s="899" t="str">
        <f>IF((RHIZOTRON_N_UpgradeUpdate + RHIZOTRON_N_Software ) = 2,"",LEFT(INDEX(RHIZOTRON_SoftwareFullNames,RHIZOTRON_IndexSoftware),FIND(" ",INDEX(RHIZOTRON_SoftwareFullNames,RHIZOTRON_IndexSoftware),FIND(" ",INDEX(RHIZOTRON_SoftwareFullNames,RHIZOTRON_IndexSoftware))+8)) &amp;
RHIZOTRON_YearMostRecent)</f>
        <v/>
      </c>
      <c r="D117" s="899"/>
      <c r="E117" s="301"/>
      <c r="F117" s="301"/>
      <c r="G117" s="272" t="str">
        <f>IF(RHIZOTRON_OptionXL*(RHIZOTRON_N_Software+RHIZOTRON_N_UpgradeUpdate-2)&gt;=((ROW(G117)-ROW($G$99))/4+1),"XLRHIZOTRON "&amp; RHIZOTRON_YearMostRecent,"")</f>
        <v/>
      </c>
      <c r="H117" s="255"/>
      <c r="I117" s="255"/>
      <c r="J117" s="272" t="str">
        <f>IF(RHIZOTRON_N_Software-1&gt;=((ROW(G117)-ROW($G$99))/4+1),IF(N_SystemTotal=0,"Software Only",IF(N_STDScanners+N_LAScanners+N_LCScanners=0,"Software Sans Scanner","Software Avec Scanner")),
IF(RHIZOTRON_N_UpgradeUpdate-1&gt;=((ROW(G117)-ROW($G$99))/4+1)-(RHIZOTRON_N_Software-1),"Update",""))</f>
        <v/>
      </c>
      <c r="K117" s="255"/>
      <c r="L117" s="254"/>
      <c r="M117" s="254"/>
      <c r="N117" s="254"/>
      <c r="O117" s="215"/>
      <c r="P117" s="215"/>
      <c r="Q117" s="215"/>
    </row>
    <row r="118" spans="1:17" ht="24" customHeight="1" x14ac:dyDescent="0.2">
      <c r="A118" s="430" t="s">
        <v>258</v>
      </c>
      <c r="B118" s="287" t="s">
        <v>258</v>
      </c>
      <c r="C118" s="378" t="str">
        <f>IF(AND(QUOTE_Split_SoftwareHardware,QUOTE_InternetDownload),"",
"☐☐ Win" &amp;
IF(INT((ROW(D118)-10)/30)+1=1,"DEN","")&amp;
IF(INT((ROW(D118)-10)/30)+1=2,"CEL","")&amp;
IF(INT((ROW(D118)-10)/30)+1=3,"RHI","")&amp;
IF(INT((ROW(D118)-10)/30)+1=4,"RT","")&amp;
IF(INT((ROW(D118)-10)/30)+1=5,"FOL","")&amp;
IF(INT((ROW(D118)-10)/30)+1=6,"SEE","")&amp;
IF(INT((ROW(D118)-10)/30)+1=7,"CAM","")&amp;
IF(INT((ROW(D118)-10)/30)+1=8,"SCA","") &amp; ".exe")</f>
        <v>☐☐ WinRT.exe</v>
      </c>
      <c r="D118" s="378" t="str">
        <f>IF(AND(QUOTE_Split_SoftwareHardware,QUOTE_InternetDownload),"",
 IF(N("If it is Cam, Do not Show XL")+AND(ROW(D118)&gt;=189,ROW(D118)&lt;=218),"","☐ XL" &amp;
IF(INT((ROW(D118)-10)/30)+1=1,"STEM","")&amp;
IF(INT((ROW(D118)-10)/30)+1=2,"Cell","")&amp;
IF(INT((ROW(D118)-10)/30)+1=3,"Rhizo","")&amp;
IF(INT((ROW(D118)-10)/30)+1=4,"RhizoT","")&amp;
IF(INT((ROW(D118)-10)/30)+1=5,"Folia","")&amp;
IF(INT((ROW(D118)-10)/30)+1=6,"Seedle","")&amp;
IF(INT((ROW(D118)-10)/30)+1=7,"Cam","")&amp;
IF(INT((ROW(D118)-10)/30)+1=8,"Scanopy","") &amp; ".xls"))</f>
        <v>☐ XLRhizoT.xls</v>
      </c>
      <c r="E118" s="378" t="s">
        <v>299</v>
      </c>
      <c r="F118" s="379" t="s">
        <v>152</v>
      </c>
      <c r="G118" s="378" t="str">
        <f xml:space="preserve"> IF(N("If it is Cam, Do not Show XL")+AND(ROW(G118)&gt;=189,ROW(G118)&lt;=218),"","☐ XL Man")</f>
        <v>☐ XL Man</v>
      </c>
      <c r="H118" s="379" t="s">
        <v>280</v>
      </c>
      <c r="I118" s="307" t="s">
        <v>274</v>
      </c>
      <c r="J118" s="379" t="str">
        <f>IF(N("Si OR dessous = vrai, pas de box")+OR(
N("1 OR Tron ou CELL")+OR(AND(ROW(E118)&gt;=39,ROW(E118)&lt;=68),AND(ROW(E118)&gt;=99,ROW(E118)&lt;=128)),
N("2 Pas de système scanopy and range opy")+AND(ROW(E118)&gt;=219,ROW(E118)&lt;=248,SCANOPY_N_System&lt;2),
N("3 Avec LC") + IF(AND(IF(PROD_MostPopularScanner="LC",1,0), NOT(AND(ROW(E118)&gt;=129,ROW(E118)&lt;=158)), NOT(AND(ROW(E118)&gt;=189,ROW(E118)&lt;=218))),1,0)
),"","☐ ")
&amp;
IF(N("If it's OPY, put OMount Manual instead")+
AND(ROW(D118)&gt;=219,ROW(D118)&lt;=248),
IF(SCANOPY_N_System&gt;1,
IF(SCANOPY_IndexScanner=1,"α" &amp; SCANOPY_CameraModel,SCANOPY_CameraModel_Mini) &amp; " Man",""),
IF(N("Empty si OR = true . . .If it is Cell or Tron, Do not Show Scanner related items + Hide if LC is favorite on unavailable product")+OR(
AND(ROW(E118)&gt;=39,ROW(E118)&lt;=68),
AND(ROW(E118)&gt;=99,ROW(E118)&lt;=128),
AND(IF(PROD_MostPopularScanner="LC",1,0), NOT(AND(ROW(E118)&gt;=129,ROW(E118)&lt;=158)), NOT(AND(ROW(E118)&gt;=189,ROW(E118)&lt;=218))),
0=1),
    "", IF(1=N("Si système a un scanner différent du Scanner populaire alors différent, sinon Scanner populaire")+AND(NOT(ISERROR(SEARCH("System",J117))),LEFT(J117,2)&lt;&gt;LEFT(PROD_MostPopularScanner,2)),
LEFT(J117,SEARCH("00",J117)-3),
PROD_MostPopularScanner) &amp; " Install Man"))</f>
        <v/>
      </c>
      <c r="K118" s="378" t="str">
        <f>IF(N("If it is Cell or Tron or OPY, Do not Show Twain")+OR(AND(ROW(K118)&gt;=39,ROW(K118)&lt;=68),AND(ROW(K118)&gt;=99,ROW(K118)&lt;=128),AND(ROW(J118)&gt;=219,ROW(J118)&lt;=248)),"","☐ TWAIN")</f>
        <v/>
      </c>
      <c r="L118" s="379" t="str">
        <f>IF(AND(IF(PROD_MostPopularScanner="LC",1,0), NOT(AND(ROW(E118)&gt;=129,ROW(E118)&lt;=158)), NOT(AND(ROW(E118)&gt;=189,ROW(E118)&lt;=218))),"",
IF(N("Si OR dessous = vrai, pas de box")+OR(
N("1 OR Dendro+CELL, Tron+Folia,Cam")+OR(
AND(ROW(K118)&gt;=9,ROW(K118)&lt;=68),
AND(ROW(K118)&gt;=99,ROW(K118)&lt;=158),
AND(ROW(K118)&gt;=189,ROW(K118)&lt;=218)),
N("2 Pas de système scanopy and range opy")+AND(ROW(K118)&gt;=219,ROW(K118)&lt;=248,SCANOPY_N_System&lt;2),
N("3 Avec LC")&amp;IF(ISERROR(LEFT(J117,SEARCH("00",J117)-3)),"",LEFT(J117,SEARCH("00",J117)-3))="LC"),"","☐ ")
&amp;
IF(N("If it's OPY, put OMount Manual instead")+
AND(ROW(J118)&gt;=219,ROW(J118)&lt;=248),
IF(SCANOPY_N_System&gt;1,"OMount Man",""),
IF(N("If it is Dendro+CELL, Tron+Folia or Cam, Do not Show Scanner related items+No Video if LC")+OR(
AND(ROW(K118)&gt;=9,ROW(K118)&lt;=68),
AND(ROW(K118)&gt;=99,ROW(K118)&lt;=158),
AND(ROW(K118)&gt;=189,ROW(K118)&lt;=218),
IF(ISERROR(LEFT(J117,SEARCH("00",J117)-3)),"",LEFT(J117,SEARCH("00",J117)-3))="LC"),
    "", "Video " &amp; IF(1=N("Si système a un scanner différent du Scanner populaire alors différent, sinon Scanner populaire")+AND(NOT(ISERROR(SEARCH("System",J117))),LEFT(J117,2)&lt;&gt;LEFT(PROD_MostPopularScanner,2)),
LEFT(J117,SEARCH("00",J117)-3),
PROD_MostPopularScanner) &amp; " Install"))
)</f>
        <v/>
      </c>
      <c r="M118" s="378" t="str">
        <f>IF(N("If it is Dendro or Tron, Do not Show Color Analysis Video")+
OR(AND(ROW(L118)&gt;=9,ROW(L118)&lt;=38),
AND(ROW(L118)&gt;=99,ROW(L118)&lt;=128)), "","☐ Video ClrAna")</f>
        <v/>
      </c>
      <c r="N118" s="379" t="str">
        <f>IF(OR(INT((ROW(D118)-10)/30)+1=2,INT((ROW(D118)-10)/30)+1=4),"","☐ ")&amp;
IF(INT((ROW(D118)-10)/30)+1=1,"Scanner.cal","")&amp;
IF(INT((ROW(D118)-10)/30)+1=2,"","")&amp;
IF(INT((ROW(D118)-10)/30)+1=3,"Scanner.cal","")&amp;
IF(INT((ROW(D118)-10)/30)+1=4,"","")&amp;
IF(INT((ROW(D118)-10)/30)+1=5,"Scanner.cal","")&amp;
IF(INT((ROW(D118)-10)/30)+1=6,"Scanner.cal","")&amp;
IF(INT((ROW(D118)-10)/30)+1=7,"Scanner.cal","")&amp;
IF(INT((ROW(D118)-10)/30)+1=8,"Indiv" &amp; " Lens.cal","")</f>
        <v/>
      </c>
      <c r="O118" s="307" t="str">
        <f>IF(AND(ROW(L118)&gt;=9,ROW(L118)&lt;=38),"☐ RegentTarget.blu","")</f>
        <v/>
      </c>
      <c r="P118" s="215"/>
      <c r="Q118" s="215"/>
    </row>
    <row r="119" spans="1:17" ht="24" customHeight="1" x14ac:dyDescent="0.2">
      <c r="A119" s="430" t="s">
        <v>259</v>
      </c>
      <c r="B119" s="224" t="s">
        <v>259</v>
      </c>
      <c r="C119" s="307" t="s">
        <v>152</v>
      </c>
      <c r="D119" s="307" t="str">
        <f xml:space="preserve"> IF(N("If it is Cam, Do not Show XL")+AND(ROW(D119)&gt;=189,ROW(D119)&lt;=218),"","☐ XL Man")</f>
        <v>☐ XL Man</v>
      </c>
      <c r="E119" s="437" t="str">
        <f>IF(N("Si OR dessous = vrai, pas de box")+OR(
N("1 OR Tron ou CELL")+OR(AND(ROW(K118)&gt;=39,ROW(K118)&lt;=68),AND(ROW(K118)&gt;=99,ROW(K118)&lt;=128)),
N("2 Pas de système scanopy and range opy")+AND(ROW(K118)&gt;=219,ROW(K118)&lt;=248,SCANOPY_N_System&lt;2),
N("3 Avec LC")&amp;IF(ISERROR(LEFT(J117,SEARCH("00",J117)-3)),"",LEFT(J117,SEARCH("00",J117)-3))="LC"),"","☐ ")
&amp;
IF(N("If it's OPY, put OMount Manual instead")+
AND(ROW(J118)&gt;=219,ROW(J118)&lt;=248),
IF(SCANOPY_N_System&gt;1,"OMount Man",""),
IF(N("If it is Cell or Tron, Do not Show Scanner related items")+OR(
AND(ROW(K118)&gt;=39,ROW(K118)&lt;=68),
AND(ROW(K118)&gt;=99,ROW(K118)&lt;=128)),
    "", IF(1=N("Si système a un scanner différent du Scanner populaire alors différent, sinon Scanner populaire")+AND(NOT(ISERROR(SEARCH("System",J117))),LEFT(J117,2)&lt;&gt;LEFT(PROD_MostPopularScanner,2)),
LEFT(J117,SEARCH("00",J117)-3),
PROD_MostPopularScanner) &amp; " Install Man"))</f>
        <v/>
      </c>
      <c r="F119" s="380" t="s">
        <v>275</v>
      </c>
      <c r="G119" s="307" t="s">
        <v>274</v>
      </c>
      <c r="H119" s="439" t="s">
        <v>250</v>
      </c>
      <c r="I119" s="381"/>
      <c r="J119" s="307" t="str">
        <f ca="1">IF(AND(
INDIRECT(
IF(INT((ROW(D119)-10)/30)+1=1,"DENDRO","")&amp;
IF(INT((ROW(D119)-10)/30)+1=2,"CELL","")&amp;
IF(INT((ROW(D119)-10)/30)+1=3,"RHIZO","")&amp;
IF(INT((ROW(D119)-10)/30)+1=4,"RHIZOTRON","")&amp;
IF(INT((ROW(D119)-10)/30)+1=5,"FOLIA","")&amp;
IF(INT((ROW(D119)-10)/30)+1=6,"SEEDLE","")&amp;
IF(INT((ROW(D119)-10)/30)+1=7,"CAM","")&amp;
IF(INT((ROW(D119)-10)/30)+1=8,"SCANOPY","") &amp; "_ChkB_RemoteUpdate"),
INDIRECT(
IF(INT((ROW(D119)-10)/30)+1=1,"DENDRO","")&amp;
IF(INT((ROW(D119)-10)/30)+1=2,"CELL","")&amp;
IF(INT((ROW(D119)-10)/30)+1=3,"RHIZO","")&amp;
IF(INT((ROW(D119)-10)/30)+1=4,"RHIZOTRON","")&amp;
IF(INT((ROW(D119)-10)/30)+1=5,"FOLIA","")&amp;
IF(INT((ROW(D119)-10)/30)+1=6,"SEEDLE","")&amp;
IF(INT((ROW(D119)-10)/30)+1=7,"CAM","")&amp;
IF(INT((ROW(D119)-10)/30)+1=8,"SCANOPY","") &amp; "_ChkBox_UpgradeUpdate")),
"Clé de bois ou Download. Reprogrammation clé client",
"☐ " &amp; IF(AND(QUOTE_Split_SoftwareHardware,QUOTE_InternetDownload),"Man ds env. ""Documents"", Clé ds bulle collée sur env.","Reliée au Man"))</f>
        <v>☐ Reliée au Man</v>
      </c>
      <c r="K119" s="265"/>
      <c r="L119" s="223"/>
      <c r="M119" s="439"/>
      <c r="N119" s="380"/>
      <c r="O119" s="307"/>
      <c r="P119" s="215"/>
      <c r="Q119" s="215"/>
    </row>
    <row r="120" spans="1:17" ht="16.25" customHeight="1" x14ac:dyDescent="0.2">
      <c r="A120" s="418"/>
      <c r="B120" s="293"/>
      <c r="C120" s="899" t="str">
        <f>IF((RHIZOTRON_N_UpgradeUpdate + RHIZOTRON_N_Software ) = 2,"",LEFT(INDEX(RHIZOTRON_SoftwareFullNames,RHIZOTRON_IndexSoftware),FIND(" ",INDEX(RHIZOTRON_SoftwareFullNames,RHIZOTRON_IndexSoftware),FIND(" ",INDEX(RHIZOTRON_SoftwareFullNames,RHIZOTRON_IndexSoftware))+8)) &amp;
RHIZOTRON_YearMostRecent)</f>
        <v/>
      </c>
      <c r="D120" s="899"/>
      <c r="E120" s="301"/>
      <c r="F120" s="301"/>
      <c r="G120" s="272" t="str">
        <f>IF(RHIZOTRON_OptionXL*(RHIZOTRON_N_Software+RHIZOTRON_N_UpgradeUpdate-2)&gt;=((ROW(G120)-ROW($G$99))/4+1),"XLRHIZOTRON "&amp; RHIZOTRON_YearMostRecent,"")</f>
        <v/>
      </c>
      <c r="H120" s="255"/>
      <c r="I120" s="255"/>
      <c r="J120" s="272" t="str">
        <f>IF(RHIZOTRON_N_Software-1&gt;=((ROW(G120)-ROW($G$99))/4+1),IF(N_SystemTotal=0,"Software Only",IF(N_STDScanners+N_LAScanners+N_LCScanners=0,"Software Sans Scanner","Software Avec Scanner")),
IF(RHIZOTRON_N_UpgradeUpdate-1&gt;=((ROW(G120)-ROW($G$99))/4+1)-(RHIZOTRON_N_Software-1),"Update",""))</f>
        <v/>
      </c>
      <c r="K120" s="255"/>
      <c r="L120" s="254"/>
      <c r="M120" s="254"/>
      <c r="N120" s="254"/>
      <c r="O120" s="215"/>
      <c r="P120" s="215"/>
      <c r="Q120" s="215"/>
    </row>
    <row r="121" spans="1:17" ht="24" customHeight="1" x14ac:dyDescent="0.2">
      <c r="A121" s="430" t="s">
        <v>258</v>
      </c>
      <c r="B121" s="287" t="s">
        <v>258</v>
      </c>
      <c r="C121" s="378" t="str">
        <f>IF(AND(QUOTE_Split_SoftwareHardware,QUOTE_InternetDownload),"",
"☐☐ Win" &amp;
IF(INT((ROW(D121)-10)/30)+1=1,"DEN","")&amp;
IF(INT((ROW(D121)-10)/30)+1=2,"CEL","")&amp;
IF(INT((ROW(D121)-10)/30)+1=3,"RHI","")&amp;
IF(INT((ROW(D121)-10)/30)+1=4,"RT","")&amp;
IF(INT((ROW(D121)-10)/30)+1=5,"FOL","")&amp;
IF(INT((ROW(D121)-10)/30)+1=6,"SEE","")&amp;
IF(INT((ROW(D121)-10)/30)+1=7,"CAM","")&amp;
IF(INT((ROW(D121)-10)/30)+1=8,"SCA","") &amp; ".exe")</f>
        <v>☐☐ WinRT.exe</v>
      </c>
      <c r="D121" s="378" t="str">
        <f>IF(AND(QUOTE_Split_SoftwareHardware,QUOTE_InternetDownload),"",
 IF(N("If it is Cam, Do not Show XL")+AND(ROW(D121)&gt;=189,ROW(D121)&lt;=218),"","☐ XL" &amp;
IF(INT((ROW(D121)-10)/30)+1=1,"STEM","")&amp;
IF(INT((ROW(D121)-10)/30)+1=2,"Cell","")&amp;
IF(INT((ROW(D121)-10)/30)+1=3,"Rhizo","")&amp;
IF(INT((ROW(D121)-10)/30)+1=4,"RhizoT","")&amp;
IF(INT((ROW(D121)-10)/30)+1=5,"Folia","")&amp;
IF(INT((ROW(D121)-10)/30)+1=6,"Seedle","")&amp;
IF(INT((ROW(D121)-10)/30)+1=7,"Cam","")&amp;
IF(INT((ROW(D121)-10)/30)+1=8,"Scanopy","") &amp; ".xls"))</f>
        <v>☐ XLRhizoT.xls</v>
      </c>
      <c r="E121" s="378" t="s">
        <v>299</v>
      </c>
      <c r="F121" s="379" t="s">
        <v>152</v>
      </c>
      <c r="G121" s="378" t="str">
        <f xml:space="preserve"> IF(N("If it is Cam, Do not Show XL")+AND(ROW(G121)&gt;=189,ROW(G121)&lt;=218),"","☐ XL Man")</f>
        <v>☐ XL Man</v>
      </c>
      <c r="H121" s="379" t="s">
        <v>280</v>
      </c>
      <c r="I121" s="307" t="s">
        <v>274</v>
      </c>
      <c r="J121" s="379" t="str">
        <f>IF(N("Si OR dessous = vrai, pas de box")+OR(
N("1 OR Tron ou CELL")+OR(AND(ROW(E121)&gt;=39,ROW(E121)&lt;=68),AND(ROW(E121)&gt;=99,ROW(E121)&lt;=128)),
N("2 Pas de système scanopy and range opy")+AND(ROW(E121)&gt;=219,ROW(E121)&lt;=248,SCANOPY_N_System&lt;2),
N("3 Avec LC") + IF(AND(IF(PROD_MostPopularScanner="LC",1,0), NOT(AND(ROW(E121)&gt;=129,ROW(E121)&lt;=158)), NOT(AND(ROW(E121)&gt;=189,ROW(E121)&lt;=218))),1,0)
),"","☐ ")
&amp;
IF(N("If it's OPY, put OMount Manual instead")+
AND(ROW(D121)&gt;=219,ROW(D121)&lt;=248),
IF(SCANOPY_N_System&gt;1,
IF(SCANOPY_IndexScanner=1,"α" &amp; SCANOPY_CameraModel,SCANOPY_CameraModel_Mini) &amp; " Man",""),
IF(N("Empty si OR = true . . .If it is Cell or Tron, Do not Show Scanner related items + Hide if LC is favorite on unavailable product")+OR(
AND(ROW(E121)&gt;=39,ROW(E121)&lt;=68),
AND(ROW(E121)&gt;=99,ROW(E121)&lt;=128),
AND(IF(PROD_MostPopularScanner="LC",1,0), NOT(AND(ROW(E121)&gt;=129,ROW(E121)&lt;=158)), NOT(AND(ROW(E121)&gt;=189,ROW(E121)&lt;=218))),
0=1),
    "", IF(1=N("Si système a un scanner différent du Scanner populaire alors différent, sinon Scanner populaire")+AND(NOT(ISERROR(SEARCH("System",J120))),LEFT(J120,2)&lt;&gt;LEFT(PROD_MostPopularScanner,2)),
LEFT(J120,SEARCH("00",J120)-3),
PROD_MostPopularScanner) &amp; " Install Man"))</f>
        <v/>
      </c>
      <c r="K121" s="378" t="str">
        <f>IF(N("If it is Cell or Tron or OPY, Do not Show Twain")+OR(AND(ROW(K121)&gt;=39,ROW(K121)&lt;=68),AND(ROW(K121)&gt;=99,ROW(K121)&lt;=128),AND(ROW(J121)&gt;=219,ROW(J121)&lt;=248)),"","☐ TWAIN")</f>
        <v/>
      </c>
      <c r="L121" s="379" t="str">
        <f>IF(AND(IF(PROD_MostPopularScanner="LC",1,0), NOT(AND(ROW(E121)&gt;=129,ROW(E121)&lt;=158)), NOT(AND(ROW(E121)&gt;=189,ROW(E121)&lt;=218))),"",
IF(N("Si OR dessous = vrai, pas de box")+OR(
N("1 OR Dendro+CELL, Tron+Folia,Cam")+OR(
AND(ROW(K121)&gt;=9,ROW(K121)&lt;=68),
AND(ROW(K121)&gt;=99,ROW(K121)&lt;=158),
AND(ROW(K121)&gt;=189,ROW(K121)&lt;=218)),
N("2 Pas de système scanopy and range opy")+AND(ROW(K121)&gt;=219,ROW(K121)&lt;=248,SCANOPY_N_System&lt;2),
N("3 Avec LC")&amp;IF(ISERROR(LEFT(J120,SEARCH("00",J120)-3)),"",LEFT(J120,SEARCH("00",J120)-3))="LC"),"","☐ ")
&amp;
IF(N("If it's OPY, put OMount Manual instead")+
AND(ROW(J121)&gt;=219,ROW(J121)&lt;=248),
IF(SCANOPY_N_System&gt;1,"OMount Man",""),
IF(N("If it is Dendro+CELL, Tron+Folia or Cam, Do not Show Scanner related items+No Video if LC")+OR(
AND(ROW(K121)&gt;=9,ROW(K121)&lt;=68),
AND(ROW(K121)&gt;=99,ROW(K121)&lt;=158),
AND(ROW(K121)&gt;=189,ROW(K121)&lt;=218),
IF(ISERROR(LEFT(J120,SEARCH("00",J120)-3)),"",LEFT(J120,SEARCH("00",J120)-3))="LC"),
    "", "Video " &amp; IF(1=N("Si système a un scanner différent du Scanner populaire alors différent, sinon Scanner populaire")+AND(NOT(ISERROR(SEARCH("System",J120))),LEFT(J120,2)&lt;&gt;LEFT(PROD_MostPopularScanner,2)),
LEFT(J120,SEARCH("00",J120)-3),
PROD_MostPopularScanner) &amp; " Install"))
)</f>
        <v/>
      </c>
      <c r="M121" s="378" t="str">
        <f>IF(N("If it is Dendro or Tron, Do not Show Color Analysis Video")+
OR(AND(ROW(L121)&gt;=9,ROW(L121)&lt;=38),
AND(ROW(L121)&gt;=99,ROW(L121)&lt;=128)), "","☐ Video ClrAna")</f>
        <v/>
      </c>
      <c r="N121" s="379" t="str">
        <f>IF(OR(INT((ROW(D121)-10)/30)+1=2,INT((ROW(D121)-10)/30)+1=4),"","☐ ")&amp;
IF(INT((ROW(D121)-10)/30)+1=1,"Scanner.cal","")&amp;
IF(INT((ROW(D121)-10)/30)+1=2,"","")&amp;
IF(INT((ROW(D121)-10)/30)+1=3,"Scanner.cal","")&amp;
IF(INT((ROW(D121)-10)/30)+1=4,"","")&amp;
IF(INT((ROW(D121)-10)/30)+1=5,"Scanner.cal","")&amp;
IF(INT((ROW(D121)-10)/30)+1=6,"Scanner.cal","")&amp;
IF(INT((ROW(D121)-10)/30)+1=7,"Scanner.cal","")&amp;
IF(INT((ROW(D121)-10)/30)+1=8,"Indiv" &amp; " Lens.cal","")</f>
        <v/>
      </c>
      <c r="O121" s="307" t="str">
        <f>IF(AND(ROW(L121)&gt;=9,ROW(L121)&lt;=38),"☐ RegentTarget.blu","")</f>
        <v/>
      </c>
      <c r="P121" s="215"/>
      <c r="Q121" s="215"/>
    </row>
    <row r="122" spans="1:17" ht="24" customHeight="1" x14ac:dyDescent="0.2">
      <c r="A122" s="430" t="s">
        <v>259</v>
      </c>
      <c r="B122" s="224" t="s">
        <v>259</v>
      </c>
      <c r="C122" s="307" t="s">
        <v>152</v>
      </c>
      <c r="D122" s="307" t="str">
        <f xml:space="preserve"> IF(N("If it is Cam, Do not Show XL")+AND(ROW(D122)&gt;=189,ROW(D122)&lt;=218),"","☐ XL Man")</f>
        <v>☐ XL Man</v>
      </c>
      <c r="E122" s="437" t="str">
        <f>IF(N("Si OR dessous = vrai, pas de box")+OR(
N("1 OR Tron ou CELL")+OR(AND(ROW(K121)&gt;=39,ROW(K121)&lt;=68),AND(ROW(K121)&gt;=99,ROW(K121)&lt;=128)),
N("2 Pas de système scanopy and range opy")+AND(ROW(K121)&gt;=219,ROW(K121)&lt;=248,SCANOPY_N_System&lt;2),
N("3 Avec LC")&amp;IF(ISERROR(LEFT(J120,SEARCH("00",J120)-3)),"",LEFT(J120,SEARCH("00",J120)-3))="LC"),"","☐ ")
&amp;
IF(N("If it's OPY, put OMount Manual instead")+
AND(ROW(J121)&gt;=219,ROW(J121)&lt;=248),
IF(SCANOPY_N_System&gt;1,"OMount Man",""),
IF(N("If it is Cell or Tron, Do not Show Scanner related items")+OR(
AND(ROW(K121)&gt;=39,ROW(K121)&lt;=68),
AND(ROW(K121)&gt;=99,ROW(K121)&lt;=128)),
    "", IF(1=N("Si système a un scanner différent du Scanner populaire alors différent, sinon Scanner populaire")+AND(NOT(ISERROR(SEARCH("System",J120))),LEFT(J120,2)&lt;&gt;LEFT(PROD_MostPopularScanner,2)),
LEFT(J120,SEARCH("00",J120)-3),
PROD_MostPopularScanner) &amp; " Install Man"))</f>
        <v/>
      </c>
      <c r="F122" s="380" t="s">
        <v>275</v>
      </c>
      <c r="G122" s="307" t="s">
        <v>274</v>
      </c>
      <c r="H122" s="439" t="s">
        <v>250</v>
      </c>
      <c r="I122" s="381"/>
      <c r="J122" s="307" t="str">
        <f ca="1">IF(AND(
INDIRECT(
IF(INT((ROW(D122)-10)/30)+1=1,"DENDRO","")&amp;
IF(INT((ROW(D122)-10)/30)+1=2,"CELL","")&amp;
IF(INT((ROW(D122)-10)/30)+1=3,"RHIZO","")&amp;
IF(INT((ROW(D122)-10)/30)+1=4,"RHIZOTRON","")&amp;
IF(INT((ROW(D122)-10)/30)+1=5,"FOLIA","")&amp;
IF(INT((ROW(D122)-10)/30)+1=6,"SEEDLE","")&amp;
IF(INT((ROW(D122)-10)/30)+1=7,"CAM","")&amp;
IF(INT((ROW(D122)-10)/30)+1=8,"SCANOPY","") &amp; "_ChkB_RemoteUpdate"),
INDIRECT(
IF(INT((ROW(D122)-10)/30)+1=1,"DENDRO","")&amp;
IF(INT((ROW(D122)-10)/30)+1=2,"CELL","")&amp;
IF(INT((ROW(D122)-10)/30)+1=3,"RHIZO","")&amp;
IF(INT((ROW(D122)-10)/30)+1=4,"RHIZOTRON","")&amp;
IF(INT((ROW(D122)-10)/30)+1=5,"FOLIA","")&amp;
IF(INT((ROW(D122)-10)/30)+1=6,"SEEDLE","")&amp;
IF(INT((ROW(D122)-10)/30)+1=7,"CAM","")&amp;
IF(INT((ROW(D122)-10)/30)+1=8,"SCANOPY","") &amp; "_ChkBox_UpgradeUpdate")),
"Clé de bois ou Download. Reprogrammation clé client",
"☐ " &amp; IF(AND(QUOTE_Split_SoftwareHardware,QUOTE_InternetDownload),"Man ds env. ""Documents"", Clé ds bulle collée sur env.","Reliée au Man"))</f>
        <v>☐ Reliée au Man</v>
      </c>
      <c r="K122" s="265"/>
      <c r="L122" s="223"/>
      <c r="M122" s="439"/>
      <c r="N122" s="380"/>
      <c r="O122" s="307"/>
      <c r="P122" s="215"/>
      <c r="Q122" s="215"/>
    </row>
    <row r="123" spans="1:17" ht="16.25" customHeight="1" x14ac:dyDescent="0.2">
      <c r="A123" s="418"/>
      <c r="B123" s="293"/>
      <c r="C123" s="899" t="str">
        <f>IF((RHIZOTRON_N_UpgradeUpdate + RHIZOTRON_N_Software ) = 2,"",LEFT(INDEX(RHIZOTRON_SoftwareFullNames,RHIZOTRON_IndexSoftware),FIND(" ",INDEX(RHIZOTRON_SoftwareFullNames,RHIZOTRON_IndexSoftware),FIND(" ",INDEX(RHIZOTRON_SoftwareFullNames,RHIZOTRON_IndexSoftware))+8)) &amp;
RHIZOTRON_YearMostRecent)</f>
        <v/>
      </c>
      <c r="D123" s="899"/>
      <c r="E123" s="301"/>
      <c r="F123" s="301"/>
      <c r="G123" s="272" t="str">
        <f>IF(RHIZOTRON_OptionXL*(RHIZOTRON_N_Software+RHIZOTRON_N_UpgradeUpdate-2)&gt;=((ROW(G123)-ROW($G$99))/4+1),"XLRHIZOTRON "&amp; RHIZOTRON_YearMostRecent,"")</f>
        <v/>
      </c>
      <c r="H123" s="255"/>
      <c r="I123" s="255"/>
      <c r="J123" s="272" t="str">
        <f>IF(RHIZOTRON_N_Software-1&gt;=((ROW(G123)-ROW($G$99))/4+1),IF(N_SystemTotal=0,"Software Only",IF(N_STDScanners+N_LAScanners+N_LCScanners=0,"Software Sans Scanner","Software Avec Scanner")),
IF(RHIZOTRON_N_UpgradeUpdate-1&gt;=((ROW(G123)-ROW($G$99))/4+1)-(RHIZOTRON_N_Software-1),"Update",""))</f>
        <v/>
      </c>
      <c r="K123" s="255"/>
      <c r="L123" s="254"/>
      <c r="M123" s="254"/>
      <c r="N123" s="254"/>
      <c r="O123" s="215"/>
      <c r="P123" s="215"/>
      <c r="Q123" s="215"/>
    </row>
    <row r="124" spans="1:17" ht="24" customHeight="1" x14ac:dyDescent="0.2">
      <c r="A124" s="430" t="s">
        <v>258</v>
      </c>
      <c r="B124" s="287" t="s">
        <v>258</v>
      </c>
      <c r="C124" s="378" t="str">
        <f>IF(AND(QUOTE_Split_SoftwareHardware,QUOTE_InternetDownload),"",
"☐☐ Win" &amp;
IF(INT((ROW(D124)-10)/30)+1=1,"DEN","")&amp;
IF(INT((ROW(D124)-10)/30)+1=2,"CEL","")&amp;
IF(INT((ROW(D124)-10)/30)+1=3,"RHI","")&amp;
IF(INT((ROW(D124)-10)/30)+1=4,"RT","")&amp;
IF(INT((ROW(D124)-10)/30)+1=5,"FOL","")&amp;
IF(INT((ROW(D124)-10)/30)+1=6,"SEE","")&amp;
IF(INT((ROW(D124)-10)/30)+1=7,"CAM","")&amp;
IF(INT((ROW(D124)-10)/30)+1=8,"SCA","") &amp; ".exe")</f>
        <v>☐☐ WinRT.exe</v>
      </c>
      <c r="D124" s="378" t="str">
        <f>IF(AND(QUOTE_Split_SoftwareHardware,QUOTE_InternetDownload),"",
 IF(N("If it is Cam, Do not Show XL")+AND(ROW(D124)&gt;=189,ROW(D124)&lt;=218),"","☐ XL" &amp;
IF(INT((ROW(D124)-10)/30)+1=1,"STEM","")&amp;
IF(INT((ROW(D124)-10)/30)+1=2,"Cell","")&amp;
IF(INT((ROW(D124)-10)/30)+1=3,"Rhizo","")&amp;
IF(INT((ROW(D124)-10)/30)+1=4,"RhizoT","")&amp;
IF(INT((ROW(D124)-10)/30)+1=5,"Folia","")&amp;
IF(INT((ROW(D124)-10)/30)+1=6,"Seedle","")&amp;
IF(INT((ROW(D124)-10)/30)+1=7,"Cam","")&amp;
IF(INT((ROW(D124)-10)/30)+1=8,"Scanopy","") &amp; ".xls"))</f>
        <v>☐ XLRhizoT.xls</v>
      </c>
      <c r="E124" s="378" t="s">
        <v>299</v>
      </c>
      <c r="F124" s="379" t="s">
        <v>152</v>
      </c>
      <c r="G124" s="378" t="str">
        <f xml:space="preserve"> IF(N("If it is Cam, Do not Show XL")+AND(ROW(G124)&gt;=189,ROW(G124)&lt;=218),"","☐ XL Man")</f>
        <v>☐ XL Man</v>
      </c>
      <c r="H124" s="379" t="s">
        <v>280</v>
      </c>
      <c r="I124" s="307" t="s">
        <v>274</v>
      </c>
      <c r="J124" s="379" t="str">
        <f>IF(N("Si OR dessous = vrai, pas de box")+OR(
N("1 OR Tron ou CELL")+OR(AND(ROW(E124)&gt;=39,ROW(E124)&lt;=68),AND(ROW(E124)&gt;=99,ROW(E124)&lt;=128)),
N("2 Pas de système scanopy and range opy")+AND(ROW(E124)&gt;=219,ROW(E124)&lt;=248,SCANOPY_N_System&lt;2),
N("3 Avec LC") + IF(AND(IF(PROD_MostPopularScanner="LC",1,0), NOT(AND(ROW(E124)&gt;=129,ROW(E124)&lt;=158)), NOT(AND(ROW(E124)&gt;=189,ROW(E124)&lt;=218))),1,0)
),"","☐ ")
&amp;
IF(N("If it's OPY, put OMount Manual instead")+
AND(ROW(D124)&gt;=219,ROW(D124)&lt;=248),
IF(SCANOPY_N_System&gt;1,
IF(SCANOPY_IndexScanner=1,"α" &amp; SCANOPY_CameraModel,SCANOPY_CameraModel_Mini) &amp; " Man",""),
IF(N("Empty si OR = true . . .If it is Cell or Tron, Do not Show Scanner related items + Hide if LC is favorite on unavailable product")+OR(
AND(ROW(E124)&gt;=39,ROW(E124)&lt;=68),
AND(ROW(E124)&gt;=99,ROW(E124)&lt;=128),
AND(IF(PROD_MostPopularScanner="LC",1,0), NOT(AND(ROW(E124)&gt;=129,ROW(E124)&lt;=158)), NOT(AND(ROW(E124)&gt;=189,ROW(E124)&lt;=218))),
0=1),
    "", IF(1=N("Si système a un scanner différent du Scanner populaire alors différent, sinon Scanner populaire")+AND(NOT(ISERROR(SEARCH("System",J123))),LEFT(J123,2)&lt;&gt;LEFT(PROD_MostPopularScanner,2)),
LEFT(J123,SEARCH("00",J123)-3),
PROD_MostPopularScanner) &amp; " Install Man"))</f>
        <v/>
      </c>
      <c r="K124" s="378" t="str">
        <f>IF(N("If it is Cell or Tron or OPY, Do not Show Twain")+OR(AND(ROW(K124)&gt;=39,ROW(K124)&lt;=68),AND(ROW(K124)&gt;=99,ROW(K124)&lt;=128),AND(ROW(J124)&gt;=219,ROW(J124)&lt;=248)),"","☐ TWAIN")</f>
        <v/>
      </c>
      <c r="L124" s="379" t="str">
        <f>IF(AND(IF(PROD_MostPopularScanner="LC",1,0), NOT(AND(ROW(E124)&gt;=129,ROW(E124)&lt;=158)), NOT(AND(ROW(E124)&gt;=189,ROW(E124)&lt;=218))),"",
IF(N("Si OR dessous = vrai, pas de box")+OR(
N("1 OR Dendro+CELL, Tron+Folia,Cam")+OR(
AND(ROW(K124)&gt;=9,ROW(K124)&lt;=68),
AND(ROW(K124)&gt;=99,ROW(K124)&lt;=158),
AND(ROW(K124)&gt;=189,ROW(K124)&lt;=218)),
N("2 Pas de système scanopy and range opy")+AND(ROW(K124)&gt;=219,ROW(K124)&lt;=248,SCANOPY_N_System&lt;2),
N("3 Avec LC")&amp;IF(ISERROR(LEFT(J123,SEARCH("00",J123)-3)),"",LEFT(J123,SEARCH("00",J123)-3))="LC"),"","☐ ")
&amp;
IF(N("If it's OPY, put OMount Manual instead")+
AND(ROW(J124)&gt;=219,ROW(J124)&lt;=248),
IF(SCANOPY_N_System&gt;1,"OMount Man",""),
IF(N("If it is Dendro+CELL, Tron+Folia or Cam, Do not Show Scanner related items+No Video if LC")+OR(
AND(ROW(K124)&gt;=9,ROW(K124)&lt;=68),
AND(ROW(K124)&gt;=99,ROW(K124)&lt;=158),
AND(ROW(K124)&gt;=189,ROW(K124)&lt;=218),
IF(ISERROR(LEFT(J123,SEARCH("00",J123)-3)),"",LEFT(J123,SEARCH("00",J123)-3))="LC"),
    "", "Video " &amp; IF(1=N("Si système a un scanner différent du Scanner populaire alors différent, sinon Scanner populaire")+AND(NOT(ISERROR(SEARCH("System",J123))),LEFT(J123,2)&lt;&gt;LEFT(PROD_MostPopularScanner,2)),
LEFT(J123,SEARCH("00",J123)-3),
PROD_MostPopularScanner) &amp; " Install"))
)</f>
        <v/>
      </c>
      <c r="M124" s="378" t="str">
        <f>IF(N("If it is Dendro or Tron, Do not Show Color Analysis Video")+
OR(AND(ROW(L124)&gt;=9,ROW(L124)&lt;=38),
AND(ROW(L124)&gt;=99,ROW(L124)&lt;=128)), "","☐ Video ClrAna")</f>
        <v/>
      </c>
      <c r="N124" s="379" t="str">
        <f>IF(OR(INT((ROW(D124)-10)/30)+1=2,INT((ROW(D124)-10)/30)+1=4),"","☐ ")&amp;
IF(INT((ROW(D124)-10)/30)+1=1,"Scanner.cal","")&amp;
IF(INT((ROW(D124)-10)/30)+1=2,"","")&amp;
IF(INT((ROW(D124)-10)/30)+1=3,"Scanner.cal","")&amp;
IF(INT((ROW(D124)-10)/30)+1=4,"","")&amp;
IF(INT((ROW(D124)-10)/30)+1=5,"Scanner.cal","")&amp;
IF(INT((ROW(D124)-10)/30)+1=6,"Scanner.cal","")&amp;
IF(INT((ROW(D124)-10)/30)+1=7,"Scanner.cal","")&amp;
IF(INT((ROW(D124)-10)/30)+1=8,"Indiv" &amp; " Lens.cal","")</f>
        <v/>
      </c>
      <c r="O124" s="307" t="str">
        <f>IF(AND(ROW(L124)&gt;=9,ROW(L124)&lt;=38),"☐ RegentTarget.blu","")</f>
        <v/>
      </c>
      <c r="P124" s="215"/>
      <c r="Q124" s="215"/>
    </row>
    <row r="125" spans="1:17" ht="24" customHeight="1" x14ac:dyDescent="0.2">
      <c r="A125" s="430" t="s">
        <v>259</v>
      </c>
      <c r="B125" s="224" t="s">
        <v>259</v>
      </c>
      <c r="C125" s="307" t="s">
        <v>152</v>
      </c>
      <c r="D125" s="307" t="str">
        <f xml:space="preserve"> IF(N("If it is Cam, Do not Show XL")+AND(ROW(D125)&gt;=189,ROW(D125)&lt;=218),"","☐ XL Man")</f>
        <v>☐ XL Man</v>
      </c>
      <c r="E125" s="437" t="str">
        <f>IF(N("Si OR dessous = vrai, pas de box")+OR(
N("1 OR Tron ou CELL")+OR(AND(ROW(K124)&gt;=39,ROW(K124)&lt;=68),AND(ROW(K124)&gt;=99,ROW(K124)&lt;=128)),
N("2 Pas de système scanopy and range opy")+AND(ROW(K124)&gt;=219,ROW(K124)&lt;=248,SCANOPY_N_System&lt;2),
N("3 Avec LC")&amp;IF(ISERROR(LEFT(J123,SEARCH("00",J123)-3)),"",LEFT(J123,SEARCH("00",J123)-3))="LC"),"","☐ ")
&amp;
IF(N("If it's OPY, put OMount Manual instead")+
AND(ROW(J124)&gt;=219,ROW(J124)&lt;=248),
IF(SCANOPY_N_System&gt;1,"OMount Man",""),
IF(N("If it is Cell or Tron, Do not Show Scanner related items")+OR(
AND(ROW(K124)&gt;=39,ROW(K124)&lt;=68),
AND(ROW(K124)&gt;=99,ROW(K124)&lt;=128)),
    "", IF(1=N("Si système a un scanner différent du Scanner populaire alors différent, sinon Scanner populaire")+AND(NOT(ISERROR(SEARCH("System",J123))),LEFT(J123,2)&lt;&gt;LEFT(PROD_MostPopularScanner,2)),
LEFT(J123,SEARCH("00",J123)-3),
PROD_MostPopularScanner) &amp; " Install Man"))</f>
        <v/>
      </c>
      <c r="F125" s="380" t="s">
        <v>275</v>
      </c>
      <c r="G125" s="307" t="s">
        <v>274</v>
      </c>
      <c r="H125" s="439" t="s">
        <v>250</v>
      </c>
      <c r="I125" s="381"/>
      <c r="J125" s="307" t="str">
        <f ca="1">IF(AND(
INDIRECT(
IF(INT((ROW(D125)-10)/30)+1=1,"DENDRO","")&amp;
IF(INT((ROW(D125)-10)/30)+1=2,"CELL","")&amp;
IF(INT((ROW(D125)-10)/30)+1=3,"RHIZO","")&amp;
IF(INT((ROW(D125)-10)/30)+1=4,"RHIZOTRON","")&amp;
IF(INT((ROW(D125)-10)/30)+1=5,"FOLIA","")&amp;
IF(INT((ROW(D125)-10)/30)+1=6,"SEEDLE","")&amp;
IF(INT((ROW(D125)-10)/30)+1=7,"CAM","")&amp;
IF(INT((ROW(D125)-10)/30)+1=8,"SCANOPY","") &amp; "_ChkB_RemoteUpdate"),
INDIRECT(
IF(INT((ROW(D125)-10)/30)+1=1,"DENDRO","")&amp;
IF(INT((ROW(D125)-10)/30)+1=2,"CELL","")&amp;
IF(INT((ROW(D125)-10)/30)+1=3,"RHIZO","")&amp;
IF(INT((ROW(D125)-10)/30)+1=4,"RHIZOTRON","")&amp;
IF(INT((ROW(D125)-10)/30)+1=5,"FOLIA","")&amp;
IF(INT((ROW(D125)-10)/30)+1=6,"SEEDLE","")&amp;
IF(INT((ROW(D125)-10)/30)+1=7,"CAM","")&amp;
IF(INT((ROW(D125)-10)/30)+1=8,"SCANOPY","") &amp; "_ChkBox_UpgradeUpdate")),
"Clé de bois ou Download. Reprogrammation clé client",
"☐ " &amp; IF(AND(QUOTE_Split_SoftwareHardware,QUOTE_InternetDownload),"Man ds env. ""Documents"", Clé ds bulle collée sur env.","Reliée au Man"))</f>
        <v>☐ Reliée au Man</v>
      </c>
      <c r="K125" s="265"/>
      <c r="L125" s="223"/>
      <c r="M125" s="439"/>
      <c r="N125" s="380"/>
      <c r="O125" s="307"/>
      <c r="P125" s="215"/>
      <c r="Q125" s="215"/>
    </row>
    <row r="126" spans="1:17" ht="16.25" customHeight="1" x14ac:dyDescent="0.2">
      <c r="A126" s="418"/>
      <c r="B126" s="293"/>
      <c r="C126" s="899" t="str">
        <f>IF((RHIZOTRON_N_UpgradeUpdate + RHIZOTRON_N_Software ) = 2,"",LEFT(INDEX(RHIZOTRON_SoftwareFullNames,RHIZOTRON_IndexSoftware),FIND(" ",INDEX(RHIZOTRON_SoftwareFullNames,RHIZOTRON_IndexSoftware),FIND(" ",INDEX(RHIZOTRON_SoftwareFullNames,RHIZOTRON_IndexSoftware))+8)) &amp;
RHIZOTRON_YearMostRecent)</f>
        <v/>
      </c>
      <c r="D126" s="899"/>
      <c r="E126" s="301"/>
      <c r="F126" s="301"/>
      <c r="G126" s="272" t="str">
        <f>IF(RHIZOTRON_OptionXL*(RHIZOTRON_N_Software+RHIZOTRON_N_UpgradeUpdate-2)&gt;=((ROW(G126)-ROW($G$99))/4+1),"XLRHIZOTRON "&amp; RHIZOTRON_YearMostRecent,"")</f>
        <v/>
      </c>
      <c r="H126" s="255"/>
      <c r="I126" s="255"/>
      <c r="J126" s="272" t="str">
        <f>IF(RHIZOTRON_N_Software-1&gt;=((ROW(G126)-ROW($G$99))/4+1),IF(N_SystemTotal=0,"Software Only",IF(N_STDScanners+N_LAScanners+N_LCScanners=0,"Software Sans Scanner","Software Avec Scanner")),
IF(RHIZOTRON_N_UpgradeUpdate-1&gt;=((ROW(G126)-ROW($G$99))/4+1)-(RHIZOTRON_N_Software-1),"Update",""))</f>
        <v/>
      </c>
      <c r="K126" s="255"/>
      <c r="L126" s="254"/>
      <c r="M126" s="254"/>
      <c r="N126" s="254"/>
      <c r="O126" s="215"/>
      <c r="P126" s="215"/>
      <c r="Q126" s="215"/>
    </row>
    <row r="127" spans="1:17" ht="24" customHeight="1" x14ac:dyDescent="0.2">
      <c r="A127" s="430" t="s">
        <v>258</v>
      </c>
      <c r="B127" s="287" t="s">
        <v>258</v>
      </c>
      <c r="C127" s="378" t="str">
        <f>IF(AND(QUOTE_Split_SoftwareHardware,QUOTE_InternetDownload),"",
"☐☐ Win" &amp;
IF(INT((ROW(D127)-10)/30)+1=1,"DEN","")&amp;
IF(INT((ROW(D127)-10)/30)+1=2,"CEL","")&amp;
IF(INT((ROW(D127)-10)/30)+1=3,"RHI","")&amp;
IF(INT((ROW(D127)-10)/30)+1=4,"RT","")&amp;
IF(INT((ROW(D127)-10)/30)+1=5,"FOL","")&amp;
IF(INT((ROW(D127)-10)/30)+1=6,"SEE","")&amp;
IF(INT((ROW(D127)-10)/30)+1=7,"CAM","")&amp;
IF(INT((ROW(D127)-10)/30)+1=8,"SCA","") &amp; ".exe")</f>
        <v>☐☐ WinRT.exe</v>
      </c>
      <c r="D127" s="378" t="str">
        <f>IF(AND(QUOTE_Split_SoftwareHardware,QUOTE_InternetDownload),"",
 IF(N("If it is Cam, Do not Show XL")+AND(ROW(D127)&gt;=189,ROW(D127)&lt;=218),"","☐ XL" &amp;
IF(INT((ROW(D127)-10)/30)+1=1,"STEM","")&amp;
IF(INT((ROW(D127)-10)/30)+1=2,"Cell","")&amp;
IF(INT((ROW(D127)-10)/30)+1=3,"Rhizo","")&amp;
IF(INT((ROW(D127)-10)/30)+1=4,"RhizoT","")&amp;
IF(INT((ROW(D127)-10)/30)+1=5,"Folia","")&amp;
IF(INT((ROW(D127)-10)/30)+1=6,"Seedle","")&amp;
IF(INT((ROW(D127)-10)/30)+1=7,"Cam","")&amp;
IF(INT((ROW(D127)-10)/30)+1=8,"Scanopy","") &amp; ".xls"))</f>
        <v>☐ XLRhizoT.xls</v>
      </c>
      <c r="E127" s="378" t="s">
        <v>299</v>
      </c>
      <c r="F127" s="379" t="s">
        <v>152</v>
      </c>
      <c r="G127" s="378" t="str">
        <f xml:space="preserve"> IF(N("If it is Cam, Do not Show XL")+AND(ROW(G127)&gt;=189,ROW(G127)&lt;=218),"","☐ XL Man")</f>
        <v>☐ XL Man</v>
      </c>
      <c r="H127" s="379" t="s">
        <v>280</v>
      </c>
      <c r="I127" s="307" t="s">
        <v>274</v>
      </c>
      <c r="J127" s="379" t="str">
        <f>IF(N("Si OR dessous = vrai, pas de box")+OR(
N("1 OR Tron ou CELL")+OR(AND(ROW(E127)&gt;=39,ROW(E127)&lt;=68),AND(ROW(E127)&gt;=99,ROW(E127)&lt;=128)),
N("2 Pas de système scanopy and range opy")+AND(ROW(E127)&gt;=219,ROW(E127)&lt;=248,SCANOPY_N_System&lt;2),
N("3 Avec LC") + IF(AND(IF(PROD_MostPopularScanner="LC",1,0), NOT(AND(ROW(E127)&gt;=129,ROW(E127)&lt;=158)), NOT(AND(ROW(E127)&gt;=189,ROW(E127)&lt;=218))),1,0)
),"","☐ ")
&amp;
IF(N("If it's OPY, put OMount Manual instead")+
AND(ROW(D127)&gt;=219,ROW(D127)&lt;=248),
IF(SCANOPY_N_System&gt;1,
IF(SCANOPY_IndexScanner=1,"α" &amp; SCANOPY_CameraModel,SCANOPY_CameraModel_Mini) &amp; " Man",""),
IF(N("Empty si OR = true . . .If it is Cell or Tron, Do not Show Scanner related items + Hide if LC is favorite on unavailable product")+OR(
AND(ROW(E127)&gt;=39,ROW(E127)&lt;=68),
AND(ROW(E127)&gt;=99,ROW(E127)&lt;=128),
AND(IF(PROD_MostPopularScanner="LC",1,0), NOT(AND(ROW(E127)&gt;=129,ROW(E127)&lt;=158)), NOT(AND(ROW(E127)&gt;=189,ROW(E127)&lt;=218))),
0=1),
    "", IF(1=N("Si système a un scanner différent du Scanner populaire alors différent, sinon Scanner populaire")+AND(NOT(ISERROR(SEARCH("System",J126))),LEFT(J126,2)&lt;&gt;LEFT(PROD_MostPopularScanner,2)),
LEFT(J126,SEARCH("00",J126)-3),
PROD_MostPopularScanner) &amp; " Install Man"))</f>
        <v/>
      </c>
      <c r="K127" s="378" t="str">
        <f>IF(N("If it is Cell or Tron or OPY, Do not Show Twain")+OR(AND(ROW(K127)&gt;=39,ROW(K127)&lt;=68),AND(ROW(K127)&gt;=99,ROW(K127)&lt;=128),AND(ROW(J127)&gt;=219,ROW(J127)&lt;=248)),"","☐ TWAIN")</f>
        <v/>
      </c>
      <c r="L127" s="379" t="str">
        <f>IF(AND(IF(PROD_MostPopularScanner="LC",1,0), NOT(AND(ROW(E127)&gt;=129,ROW(E127)&lt;=158)), NOT(AND(ROW(E127)&gt;=189,ROW(E127)&lt;=218))),"",
IF(N("Si OR dessous = vrai, pas de box")+OR(
N("1 OR Dendro+CELL, Tron+Folia,Cam")+OR(
AND(ROW(K127)&gt;=9,ROW(K127)&lt;=68),
AND(ROW(K127)&gt;=99,ROW(K127)&lt;=158),
AND(ROW(K127)&gt;=189,ROW(K127)&lt;=218)),
N("2 Pas de système scanopy and range opy")+AND(ROW(K127)&gt;=219,ROW(K127)&lt;=248,SCANOPY_N_System&lt;2),
N("3 Avec LC")&amp;IF(ISERROR(LEFT(J126,SEARCH("00",J126)-3)),"",LEFT(J126,SEARCH("00",J126)-3))="LC"),"","☐ ")
&amp;
IF(N("If it's OPY, put OMount Manual instead")+
AND(ROW(J127)&gt;=219,ROW(J127)&lt;=248),
IF(SCANOPY_N_System&gt;1,"OMount Man",""),
IF(N("If it is Dendro+CELL, Tron+Folia or Cam, Do not Show Scanner related items+No Video if LC")+OR(
AND(ROW(K127)&gt;=9,ROW(K127)&lt;=68),
AND(ROW(K127)&gt;=99,ROW(K127)&lt;=158),
AND(ROW(K127)&gt;=189,ROW(K127)&lt;=218),
IF(ISERROR(LEFT(J126,SEARCH("00",J126)-3)),"",LEFT(J126,SEARCH("00",J126)-3))="LC"),
    "", "Video " &amp; IF(1=N("Si système a un scanner différent du Scanner populaire alors différent, sinon Scanner populaire")+AND(NOT(ISERROR(SEARCH("System",J126))),LEFT(J126,2)&lt;&gt;LEFT(PROD_MostPopularScanner,2)),
LEFT(J126,SEARCH("00",J126)-3),
PROD_MostPopularScanner) &amp; " Install"))
)</f>
        <v/>
      </c>
      <c r="M127" s="378" t="str">
        <f>IF(N("If it is Dendro or Tron, Do not Show Color Analysis Video")+
OR(AND(ROW(L127)&gt;=9,ROW(L127)&lt;=38),
AND(ROW(L127)&gt;=99,ROW(L127)&lt;=128)), "","☐ Video ClrAna")</f>
        <v/>
      </c>
      <c r="N127" s="379" t="str">
        <f>IF(OR(INT((ROW(D127)-10)/30)+1=2,INT((ROW(D127)-10)/30)+1=4),"","☐ ")&amp;
IF(INT((ROW(D127)-10)/30)+1=1,"Scanner.cal","")&amp;
IF(INT((ROW(D127)-10)/30)+1=2,"","")&amp;
IF(INT((ROW(D127)-10)/30)+1=3,"Scanner.cal","")&amp;
IF(INT((ROW(D127)-10)/30)+1=4,"","")&amp;
IF(INT((ROW(D127)-10)/30)+1=5,"Scanner.cal","")&amp;
IF(INT((ROW(D127)-10)/30)+1=6,"Scanner.cal","")&amp;
IF(INT((ROW(D127)-10)/30)+1=7,"Scanner.cal","")&amp;
IF(INT((ROW(D127)-10)/30)+1=8,"Indiv" &amp; " Lens.cal","")</f>
        <v/>
      </c>
      <c r="O127" s="307" t="str">
        <f>IF(AND(ROW(L127)&gt;=9,ROW(L127)&lt;=38),"☐ RegentTarget.blu","")</f>
        <v/>
      </c>
      <c r="P127" s="215"/>
      <c r="Q127" s="215"/>
    </row>
    <row r="128" spans="1:17" ht="24" customHeight="1" x14ac:dyDescent="0.2">
      <c r="A128" s="430" t="s">
        <v>259</v>
      </c>
      <c r="B128" s="224" t="s">
        <v>259</v>
      </c>
      <c r="C128" s="307" t="s">
        <v>152</v>
      </c>
      <c r="D128" s="307" t="str">
        <f xml:space="preserve"> IF(N("If it is Cam, Do not Show XL")+AND(ROW(D128)&gt;=189,ROW(D128)&lt;=218),"","☐ XL Man")</f>
        <v>☐ XL Man</v>
      </c>
      <c r="E128" s="437" t="str">
        <f>IF(N("Si OR dessous = vrai, pas de box")+OR(
N("1 OR Tron ou CELL")+OR(AND(ROW(K127)&gt;=39,ROW(K127)&lt;=68),AND(ROW(K127)&gt;=99,ROW(K127)&lt;=128)),
N("2 Pas de système scanopy and range opy")+AND(ROW(K127)&gt;=219,ROW(K127)&lt;=248,SCANOPY_N_System&lt;2),
N("3 Avec LC")&amp;IF(ISERROR(LEFT(J126,SEARCH("00",J126)-3)),"",LEFT(J126,SEARCH("00",J126)-3))="LC"),"","☐ ")
&amp;
IF(N("If it's OPY, put OMount Manual instead")+
AND(ROW(J127)&gt;=219,ROW(J127)&lt;=248),
IF(SCANOPY_N_System&gt;1,"OMount Man",""),
IF(N("If it is Cell or Tron, Do not Show Scanner related items")+OR(
AND(ROW(K127)&gt;=39,ROW(K127)&lt;=68),
AND(ROW(K127)&gt;=99,ROW(K127)&lt;=128)),
    "", IF(1=N("Si système a un scanner différent du Scanner populaire alors différent, sinon Scanner populaire")+AND(NOT(ISERROR(SEARCH("System",J126))),LEFT(J126,2)&lt;&gt;LEFT(PROD_MostPopularScanner,2)),
LEFT(J126,SEARCH("00",J126)-3),
PROD_MostPopularScanner) &amp; " Install Man"))</f>
        <v/>
      </c>
      <c r="F128" s="380" t="s">
        <v>275</v>
      </c>
      <c r="G128" s="307" t="s">
        <v>274</v>
      </c>
      <c r="H128" s="439" t="s">
        <v>250</v>
      </c>
      <c r="I128" s="381"/>
      <c r="J128" s="307" t="str">
        <f ca="1">IF(AND(
INDIRECT(
IF(INT((ROW(D128)-10)/30)+1=1,"DENDRO","")&amp;
IF(INT((ROW(D128)-10)/30)+1=2,"CELL","")&amp;
IF(INT((ROW(D128)-10)/30)+1=3,"RHIZO","")&amp;
IF(INT((ROW(D128)-10)/30)+1=4,"RHIZOTRON","")&amp;
IF(INT((ROW(D128)-10)/30)+1=5,"FOLIA","")&amp;
IF(INT((ROW(D128)-10)/30)+1=6,"SEEDLE","")&amp;
IF(INT((ROW(D128)-10)/30)+1=7,"CAM","")&amp;
IF(INT((ROW(D128)-10)/30)+1=8,"SCANOPY","") &amp; "_ChkB_RemoteUpdate"),
INDIRECT(
IF(INT((ROW(D128)-10)/30)+1=1,"DENDRO","")&amp;
IF(INT((ROW(D128)-10)/30)+1=2,"CELL","")&amp;
IF(INT((ROW(D128)-10)/30)+1=3,"RHIZO","")&amp;
IF(INT((ROW(D128)-10)/30)+1=4,"RHIZOTRON","")&amp;
IF(INT((ROW(D128)-10)/30)+1=5,"FOLIA","")&amp;
IF(INT((ROW(D128)-10)/30)+1=6,"SEEDLE","")&amp;
IF(INT((ROW(D128)-10)/30)+1=7,"CAM","")&amp;
IF(INT((ROW(D128)-10)/30)+1=8,"SCANOPY","") &amp; "_ChkBox_UpgradeUpdate")),
"Clé de bois ou Download. Reprogrammation clé client",
"☐ " &amp; IF(AND(QUOTE_Split_SoftwareHardware,QUOTE_InternetDownload),"Man ds env. ""Documents"", Clé ds bulle collée sur env.","Reliée au Man"))</f>
        <v>☐ Reliée au Man</v>
      </c>
      <c r="K128" s="265"/>
      <c r="L128" s="223"/>
      <c r="M128" s="439"/>
      <c r="N128" s="380"/>
      <c r="O128" s="307"/>
      <c r="P128" s="215"/>
      <c r="Q128" s="215"/>
    </row>
    <row r="129" spans="1:17" ht="16.25" customHeight="1" x14ac:dyDescent="0.2">
      <c r="A129" s="419"/>
      <c r="B129" s="294"/>
      <c r="C129" s="887" t="str">
        <f>IF((FOLIA_N_UpgradeUpdate + FOLIA_N_Software ) = 2,"",LEFT(INDEX(FOLIA_SoftwareFullNames,FOLIA_IndexSoftware),FIND(" ",INDEX(FOLIA_SoftwareFullNames,FOLIA_IndexSoftware),FIND(" ",INDEX(FOLIA_SoftwareFullNames,FOLIA_IndexSoftware))+1)) &amp;
FOLIA_YearMostRecent )</f>
        <v/>
      </c>
      <c r="D129" s="887"/>
      <c r="E129" s="302"/>
      <c r="F129" s="302"/>
      <c r="G129" s="273" t="str">
        <f>IF(FOLIA_OptionXL*(FOLIA_N_Software+FOLIA_N_UpgradeUpdate-2)&gt;=((ROW(G129)-ROW($G$129))/4+1),"XLFOLIA "&amp; FOLIA_YearMostRecent,"")</f>
        <v/>
      </c>
      <c r="H129" s="257"/>
      <c r="I129" s="257"/>
      <c r="J129" s="273" t="str">
        <f>IF(FOLIA_N_System-1&gt;=((ROW(G129)-ROW($G$129))/4+1),IF(FOLIA_IndexScanner=1,"STD4800",IF(FOLIA_IndexScanner=2,"LA2400","LC4800P")) &amp; " System"&amp; IF(AND(FOLIA_ClientWithOrWithoutScanner=2,FOLIA_N_System&gt;1)," Sans Scanner"," Avec Scanner"),
IF(AND(FOLIA_N_Software&gt;FOLIA_N_System,FOLIA_N_Software-1&gt;=((ROW(G129)-ROW($G$129))/4+1)),IF(N_SystemTotal=0,"Software Only",IF(N_STDScanners+N_LAScanners+N_LCScanners=0,"Software Sans Scanner","Software Avec Scanner")),
IF(FOLIA_N_UpgradeUpdate-1&gt;=((ROW(G129)-ROW($G$129))/4+1)-(MAX(FOLIA_N_System,FOLIA_N_Software)-1),"Update","")))</f>
        <v/>
      </c>
      <c r="K129" s="257"/>
      <c r="L129" s="256"/>
      <c r="M129" s="256"/>
      <c r="N129" s="256"/>
      <c r="O129" s="215"/>
      <c r="P129" s="215"/>
      <c r="Q129" s="215"/>
    </row>
    <row r="130" spans="1:17" ht="24" customHeight="1" x14ac:dyDescent="0.2">
      <c r="A130" s="431" t="s">
        <v>258</v>
      </c>
      <c r="B130" s="287" t="s">
        <v>258</v>
      </c>
      <c r="C130" s="378" t="str">
        <f>IF(AND(QUOTE_Split_SoftwareHardware,QUOTE_InternetDownload),"",
"☐☐ Win" &amp;
IF(INT((ROW(D130)-10)/30)+1=1,"DEN","")&amp;
IF(INT((ROW(D130)-10)/30)+1=2,"CEL","")&amp;
IF(INT((ROW(D130)-10)/30)+1=3,"RHI","")&amp;
IF(INT((ROW(D130)-10)/30)+1=4,"RT","")&amp;
IF(INT((ROW(D130)-10)/30)+1=5,"FOL","")&amp;
IF(INT((ROW(D130)-10)/30)+1=6,"SEE","")&amp;
IF(INT((ROW(D130)-10)/30)+1=7,"CAM","")&amp;
IF(INT((ROW(D130)-10)/30)+1=8,"SCA","") &amp; ".exe")</f>
        <v>☐☐ WinFOL.exe</v>
      </c>
      <c r="D130" s="378" t="str">
        <f>IF(AND(QUOTE_Split_SoftwareHardware,QUOTE_InternetDownload),"",
 IF(N("If it is Cam, Do not Show XL")+AND(ROW(D130)&gt;=189,ROW(D130)&lt;=218),"","☐ XL" &amp;
IF(INT((ROW(D130)-10)/30)+1=1,"STEM","")&amp;
IF(INT((ROW(D130)-10)/30)+1=2,"Cell","")&amp;
IF(INT((ROW(D130)-10)/30)+1=3,"Rhizo","")&amp;
IF(INT((ROW(D130)-10)/30)+1=4,"RhizoT","")&amp;
IF(INT((ROW(D130)-10)/30)+1=5,"Folia","")&amp;
IF(INT((ROW(D130)-10)/30)+1=6,"Seedle","")&amp;
IF(INT((ROW(D130)-10)/30)+1=7,"Cam","")&amp;
IF(INT((ROW(D130)-10)/30)+1=8,"Scanopy","") &amp; ".xls"))</f>
        <v>☐ XLFolia.xls</v>
      </c>
      <c r="E130" s="378" t="s">
        <v>299</v>
      </c>
      <c r="F130" s="379" t="s">
        <v>152</v>
      </c>
      <c r="G130" s="378" t="str">
        <f xml:space="preserve"> IF(N("If it is Cam, Do not Show XL")+AND(ROW(G130)&gt;=189,ROW(G130)&lt;=218),"","☐ XL Man")</f>
        <v>☐ XL Man</v>
      </c>
      <c r="H130" s="379" t="s">
        <v>280</v>
      </c>
      <c r="I130" s="307" t="s">
        <v>274</v>
      </c>
      <c r="J130" s="379" t="str">
        <f>IF(N("Si OR dessous = vrai, pas de box")+OR(
N("1 OR Tron ou CELL")+OR(AND(ROW(E130)&gt;=39,ROW(E130)&lt;=68),AND(ROW(E130)&gt;=99,ROW(E130)&lt;=128)),
N("2 Pas de système scanopy and range opy")+AND(ROW(E130)&gt;=219,ROW(E130)&lt;=248,SCANOPY_N_System&lt;2),
N("3 Avec LC") + IF(AND(IF(PROD_MostPopularScanner="LC",1,0), NOT(AND(ROW(E130)&gt;=129,ROW(E130)&lt;=158)), NOT(AND(ROW(E130)&gt;=189,ROW(E130)&lt;=218))),1,0)
),"","☐ ")
&amp;
IF(N("If it's OPY, put OMount Manual instead")+
AND(ROW(D130)&gt;=219,ROW(D130)&lt;=248),
IF(SCANOPY_N_System&gt;1,
IF(SCANOPY_IndexScanner=1,"α" &amp; SCANOPY_CameraModel,SCANOPY_CameraModel_Mini) &amp; " Man",""),
IF(N("Empty si OR = true . . .If it is Cell or Tron, Do not Show Scanner related items + Hide if LC is favorite on unavailable product")+OR(
AND(ROW(E130)&gt;=39,ROW(E130)&lt;=68),
AND(ROW(E130)&gt;=99,ROW(E130)&lt;=128),
AND(IF(PROD_MostPopularScanner="LC",1,0), NOT(AND(ROW(E130)&gt;=129,ROW(E130)&lt;=158)), NOT(AND(ROW(E130)&gt;=189,ROW(E130)&lt;=218))),
0=1),
    "", IF(1=N("Si système a un scanner différent du Scanner populaire alors différent, sinon Scanner populaire")+AND(NOT(ISERROR(SEARCH("System",J129))),LEFT(J129,2)&lt;&gt;LEFT(PROD_MostPopularScanner,2)),
LEFT(J129,SEARCH("00",J129)-3),
PROD_MostPopularScanner) &amp; " Install Man"))</f>
        <v>☐ Scan. Install Man</v>
      </c>
      <c r="K130" s="378" t="str">
        <f>IF(N("If it is Cell or Tron or OPY, Do not Show Twain")+OR(AND(ROW(K130)&gt;=39,ROW(K130)&lt;=68),AND(ROW(K130)&gt;=99,ROW(K130)&lt;=128),AND(ROW(J130)&gt;=219,ROW(J130)&lt;=248)),"","☐ TWAIN")</f>
        <v>☐ TWAIN</v>
      </c>
      <c r="L130" s="379" t="str">
        <f>IF(AND(IF(PROD_MostPopularScanner="LC",1,0), NOT(AND(ROW(E130)&gt;=129,ROW(E130)&lt;=158)), NOT(AND(ROW(E130)&gt;=189,ROW(E130)&lt;=218))),"",
IF(N("Si OR dessous = vrai, pas de box")+OR(
N("1 OR Dendro+CELL, Tron+Folia,Cam")+OR(
AND(ROW(K130)&gt;=9,ROW(K130)&lt;=68),
AND(ROW(K130)&gt;=99,ROW(K130)&lt;=158),
AND(ROW(K130)&gt;=189,ROW(K130)&lt;=218)),
N("2 Pas de système scanopy and range opy")+AND(ROW(K130)&gt;=219,ROW(K130)&lt;=248,SCANOPY_N_System&lt;2),
N("3 Avec LC")&amp;IF(ISERROR(LEFT(J129,SEARCH("00",J129)-3)),"",LEFT(J129,SEARCH("00",J129)-3))="LC"),"","☐ ")
&amp;
IF(N("If it's OPY, put OMount Manual instead")+
AND(ROW(J130)&gt;=219,ROW(J130)&lt;=248),
IF(SCANOPY_N_System&gt;1,"OMount Man",""),
IF(N("If it is Dendro+CELL, Tron+Folia or Cam, Do not Show Scanner related items+No Video if LC")+OR(
AND(ROW(K130)&gt;=9,ROW(K130)&lt;=68),
AND(ROW(K130)&gt;=99,ROW(K130)&lt;=158),
AND(ROW(K130)&gt;=189,ROW(K130)&lt;=218),
IF(ISERROR(LEFT(J129,SEARCH("00",J129)-3)),"",LEFT(J129,SEARCH("00",J129)-3))="LC"),
    "", "Video " &amp; IF(1=N("Si système a un scanner différent du Scanner populaire alors différent, sinon Scanner populaire")+AND(NOT(ISERROR(SEARCH("System",J129))),LEFT(J129,2)&lt;&gt;LEFT(PROD_MostPopularScanner,2)),
LEFT(J129,SEARCH("00",J129)-3),
PROD_MostPopularScanner) &amp; " Install"))
)</f>
        <v/>
      </c>
      <c r="M130" s="378" t="str">
        <f>IF(N("If it is Dendro or Tron, Do not Show Color Analysis Video")+
OR(AND(ROW(L130)&gt;=9,ROW(L130)&lt;=38),
AND(ROW(L130)&gt;=99,ROW(L130)&lt;=128)), "","☐ Video ClrAna")</f>
        <v>☐ Video ClrAna</v>
      </c>
      <c r="N130" s="379" t="str">
        <f>IF(OR(INT((ROW(D130)-10)/30)+1=2,INT((ROW(D130)-10)/30)+1=4),"","☐ ")&amp;
IF(INT((ROW(D130)-10)/30)+1=1,"Scanner.cal","")&amp;
IF(INT((ROW(D130)-10)/30)+1=2,"","")&amp;
IF(INT((ROW(D130)-10)/30)+1=3,"Scanner.cal","")&amp;
IF(INT((ROW(D130)-10)/30)+1=4,"","")&amp;
IF(INT((ROW(D130)-10)/30)+1=5,"Scanner.cal","")&amp;
IF(INT((ROW(D130)-10)/30)+1=6,"Scanner.cal","")&amp;
IF(INT((ROW(D130)-10)/30)+1=7,"Scanner.cal","")&amp;
IF(INT((ROW(D130)-10)/30)+1=8,"Indiv" &amp; " Lens.cal","")</f>
        <v>☐ Scanner.cal</v>
      </c>
      <c r="O130" s="307" t="str">
        <f>IF(AND(ROW(L130)&gt;=9,ROW(L130)&lt;=38),"☐ RegentTarget.blu","")</f>
        <v/>
      </c>
      <c r="P130" s="215"/>
      <c r="Q130" s="215"/>
    </row>
    <row r="131" spans="1:17" ht="24" customHeight="1" x14ac:dyDescent="0.2">
      <c r="A131" s="431" t="s">
        <v>259</v>
      </c>
      <c r="B131" s="224" t="s">
        <v>259</v>
      </c>
      <c r="C131" s="307" t="s">
        <v>152</v>
      </c>
      <c r="D131" s="307" t="str">
        <f xml:space="preserve"> IF(N("If it is Cam, Do not Show XL")+AND(ROW(D131)&gt;=189,ROW(D131)&lt;=218),"","☐ XL Man")</f>
        <v>☐ XL Man</v>
      </c>
      <c r="E131" s="437" t="str">
        <f>IF(N("Si OR dessous = vrai, pas de box")+OR(
N("1 OR Tron ou CELL")+OR(AND(ROW(K130)&gt;=39,ROW(K130)&lt;=68),AND(ROW(K130)&gt;=99,ROW(K130)&lt;=128)),
N("2 Pas de système scanopy and range opy")+AND(ROW(K130)&gt;=219,ROW(K130)&lt;=248,SCANOPY_N_System&lt;2),
N("3 Avec LC")&amp;IF(ISERROR(LEFT(J129,SEARCH("00",J129)-3)),"",LEFT(J129,SEARCH("00",J129)-3))="LC"),"","☐ ")
&amp;
IF(N("If it's OPY, put OMount Manual instead")+
AND(ROW(J130)&gt;=219,ROW(J130)&lt;=248),
IF(SCANOPY_N_System&gt;1,"OMount Man",""),
IF(N("If it is Cell or Tron, Do not Show Scanner related items")+OR(
AND(ROW(K130)&gt;=39,ROW(K130)&lt;=68),
AND(ROW(K130)&gt;=99,ROW(K130)&lt;=128)),
    "", IF(1=N("Si système a un scanner différent du Scanner populaire alors différent, sinon Scanner populaire")+AND(NOT(ISERROR(SEARCH("System",J129))),LEFT(J129,2)&lt;&gt;LEFT(PROD_MostPopularScanner,2)),
LEFT(J129,SEARCH("00",J129)-3),
PROD_MostPopularScanner) &amp; " Install Man"))</f>
        <v>☐ Scan. Install Man</v>
      </c>
      <c r="F131" s="380" t="s">
        <v>275</v>
      </c>
      <c r="G131" s="307" t="s">
        <v>274</v>
      </c>
      <c r="H131" s="439" t="s">
        <v>250</v>
      </c>
      <c r="I131" s="381"/>
      <c r="J131" s="307" t="str">
        <f ca="1">IF(AND(
INDIRECT(
IF(INT((ROW(D131)-10)/30)+1=1,"DENDRO","")&amp;
IF(INT((ROW(D131)-10)/30)+1=2,"CELL","")&amp;
IF(INT((ROW(D131)-10)/30)+1=3,"RHIZO","")&amp;
IF(INT((ROW(D131)-10)/30)+1=4,"RHIZOTRON","")&amp;
IF(INT((ROW(D131)-10)/30)+1=5,"FOLIA","")&amp;
IF(INT((ROW(D131)-10)/30)+1=6,"SEEDLE","")&amp;
IF(INT((ROW(D131)-10)/30)+1=7,"CAM","")&amp;
IF(INT((ROW(D131)-10)/30)+1=8,"SCANOPY","") &amp; "_ChkB_RemoteUpdate"),
INDIRECT(
IF(INT((ROW(D131)-10)/30)+1=1,"DENDRO","")&amp;
IF(INT((ROW(D131)-10)/30)+1=2,"CELL","")&amp;
IF(INT((ROW(D131)-10)/30)+1=3,"RHIZO","")&amp;
IF(INT((ROW(D131)-10)/30)+1=4,"RHIZOTRON","")&amp;
IF(INT((ROW(D131)-10)/30)+1=5,"FOLIA","")&amp;
IF(INT((ROW(D131)-10)/30)+1=6,"SEEDLE","")&amp;
IF(INT((ROW(D131)-10)/30)+1=7,"CAM","")&amp;
IF(INT((ROW(D131)-10)/30)+1=8,"SCANOPY","") &amp; "_ChkBox_UpgradeUpdate")),
"Clé de bois ou Download. Reprogrammation clé client",
"☐ " &amp; IF(AND(QUOTE_Split_SoftwareHardware,QUOTE_InternetDownload),"Man ds env. ""Documents"", Clé ds bulle collée sur env.","Reliée au Man"))</f>
        <v>☐ Reliée au Man</v>
      </c>
      <c r="K131" s="265"/>
      <c r="L131" s="223"/>
      <c r="M131" s="439"/>
      <c r="N131" s="380"/>
      <c r="O131" s="307"/>
      <c r="P131" s="215"/>
      <c r="Q131" s="215"/>
    </row>
    <row r="132" spans="1:17" ht="16.25" customHeight="1" x14ac:dyDescent="0.2">
      <c r="A132" s="419"/>
      <c r="B132" s="294"/>
      <c r="C132" s="887" t="str">
        <f>IF((FOLIA_N_UpgradeUpdate + FOLIA_N_Software ) = 2,"",LEFT(INDEX(FOLIA_SoftwareFullNames,FOLIA_IndexSoftware),FIND(" ",INDEX(FOLIA_SoftwareFullNames,FOLIA_IndexSoftware),FIND(" ",INDEX(FOLIA_SoftwareFullNames,FOLIA_IndexSoftware))+1)) &amp;
FOLIA_YearMostRecent )</f>
        <v/>
      </c>
      <c r="D132" s="887"/>
      <c r="E132" s="302"/>
      <c r="F132" s="302"/>
      <c r="G132" s="273" t="str">
        <f>IF(FOLIA_OptionXL*(FOLIA_N_Software+FOLIA_N_UpgradeUpdate-2)&gt;=((ROW(G132)-ROW($G$129))/4+1),"XLFOLIA "&amp; FOLIA_YearMostRecent,"")</f>
        <v/>
      </c>
      <c r="H132" s="257"/>
      <c r="I132" s="257"/>
      <c r="J132" s="273" t="str">
        <f>IF(FOLIA_N_System-1&gt;=((ROW(G132)-ROW($G$129))/4+1),IF(FOLIA_IndexScanner=1,"STD4800",IF(FOLIA_IndexScanner=2,"LA2400","LC4800P")) &amp; " System"&amp; IF(AND(FOLIA_ClientWithOrWithoutScanner=2,FOLIA_N_System&gt;1)," Sans Scanner"," Avec Scanner"),
IF(AND(FOLIA_N_Software&gt;FOLIA_N_System,FOLIA_N_Software-1&gt;=((ROW(G132)-ROW($G$129))/4+1)),IF(N_SystemTotal=0,"Software Only",IF(N_STDScanners+N_LAScanners+N_LCScanners=0,"Software Sans Scanner","Software Avec Scanner")),
IF(FOLIA_N_UpgradeUpdate-1&gt;=((ROW(G132)-ROW($G$129))/4+1)-(MAX(FOLIA_N_System,FOLIA_N_Software)-1),"Update","")))</f>
        <v/>
      </c>
      <c r="K132" s="257"/>
      <c r="L132" s="256"/>
      <c r="M132" s="256"/>
      <c r="N132" s="256"/>
      <c r="O132" s="215"/>
      <c r="P132" s="215"/>
      <c r="Q132" s="215"/>
    </row>
    <row r="133" spans="1:17" ht="24" customHeight="1" x14ac:dyDescent="0.2">
      <c r="A133" s="431" t="s">
        <v>258</v>
      </c>
      <c r="B133" s="287" t="s">
        <v>258</v>
      </c>
      <c r="C133" s="378" t="str">
        <f>IF(AND(QUOTE_Split_SoftwareHardware,QUOTE_InternetDownload),"",
"☐☐ Win" &amp;
IF(INT((ROW(D133)-10)/30)+1=1,"DEN","")&amp;
IF(INT((ROW(D133)-10)/30)+1=2,"CEL","")&amp;
IF(INT((ROW(D133)-10)/30)+1=3,"RHI","")&amp;
IF(INT((ROW(D133)-10)/30)+1=4,"RT","")&amp;
IF(INT((ROW(D133)-10)/30)+1=5,"FOL","")&amp;
IF(INT((ROW(D133)-10)/30)+1=6,"SEE","")&amp;
IF(INT((ROW(D133)-10)/30)+1=7,"CAM","")&amp;
IF(INT((ROW(D133)-10)/30)+1=8,"SCA","") &amp; ".exe")</f>
        <v>☐☐ WinFOL.exe</v>
      </c>
      <c r="D133" s="378" t="str">
        <f>IF(AND(QUOTE_Split_SoftwareHardware,QUOTE_InternetDownload),"",
 IF(N("If it is Cam, Do not Show XL")+AND(ROW(D133)&gt;=189,ROW(D133)&lt;=218),"","☐ XL" &amp;
IF(INT((ROW(D133)-10)/30)+1=1,"STEM","")&amp;
IF(INT((ROW(D133)-10)/30)+1=2,"Cell","")&amp;
IF(INT((ROW(D133)-10)/30)+1=3,"Rhizo","")&amp;
IF(INT((ROW(D133)-10)/30)+1=4,"RhizoT","")&amp;
IF(INT((ROW(D133)-10)/30)+1=5,"Folia","")&amp;
IF(INT((ROW(D133)-10)/30)+1=6,"Seedle","")&amp;
IF(INT((ROW(D133)-10)/30)+1=7,"Cam","")&amp;
IF(INT((ROW(D133)-10)/30)+1=8,"Scanopy","") &amp; ".xls"))</f>
        <v>☐ XLFolia.xls</v>
      </c>
      <c r="E133" s="378" t="s">
        <v>299</v>
      </c>
      <c r="F133" s="379" t="s">
        <v>152</v>
      </c>
      <c r="G133" s="378" t="str">
        <f xml:space="preserve"> IF(N("If it is Cam, Do not Show XL")+AND(ROW(G133)&gt;=189,ROW(G133)&lt;=218),"","☐ XL Man")</f>
        <v>☐ XL Man</v>
      </c>
      <c r="H133" s="379" t="s">
        <v>280</v>
      </c>
      <c r="I133" s="307" t="s">
        <v>274</v>
      </c>
      <c r="J133" s="379" t="str">
        <f>IF(N("Si OR dessous = vrai, pas de box")+OR(
N("1 OR Tron ou CELL")+OR(AND(ROW(E133)&gt;=39,ROW(E133)&lt;=68),AND(ROW(E133)&gt;=99,ROW(E133)&lt;=128)),
N("2 Pas de système scanopy and range opy")+AND(ROW(E133)&gt;=219,ROW(E133)&lt;=248,SCANOPY_N_System&lt;2),
N("3 Avec LC") + IF(AND(IF(PROD_MostPopularScanner="LC",1,0), NOT(AND(ROW(E133)&gt;=129,ROW(E133)&lt;=158)), NOT(AND(ROW(E133)&gt;=189,ROW(E133)&lt;=218))),1,0)
),"","☐ ")
&amp;
IF(N("If it's OPY, put OMount Manual instead")+
AND(ROW(D133)&gt;=219,ROW(D133)&lt;=248),
IF(SCANOPY_N_System&gt;1,
IF(SCANOPY_IndexScanner=1,"α" &amp; SCANOPY_CameraModel,SCANOPY_CameraModel_Mini) &amp; " Man",""),
IF(N("Empty si OR = true . . .If it is Cell or Tron, Do not Show Scanner related items + Hide if LC is favorite on unavailable product")+OR(
AND(ROW(E133)&gt;=39,ROW(E133)&lt;=68),
AND(ROW(E133)&gt;=99,ROW(E133)&lt;=128),
AND(IF(PROD_MostPopularScanner="LC",1,0), NOT(AND(ROW(E133)&gt;=129,ROW(E133)&lt;=158)), NOT(AND(ROW(E133)&gt;=189,ROW(E133)&lt;=218))),
0=1),
    "", IF(1=N("Si système a un scanner différent du Scanner populaire alors différent, sinon Scanner populaire")+AND(NOT(ISERROR(SEARCH("System",J132))),LEFT(J132,2)&lt;&gt;LEFT(PROD_MostPopularScanner,2)),
LEFT(J132,SEARCH("00",J132)-3),
PROD_MostPopularScanner) &amp; " Install Man"))</f>
        <v>☐ Scan. Install Man</v>
      </c>
      <c r="K133" s="378" t="str">
        <f>IF(N("If it is Cell or Tron or OPY, Do not Show Twain")+OR(AND(ROW(K133)&gt;=39,ROW(K133)&lt;=68),AND(ROW(K133)&gt;=99,ROW(K133)&lt;=128),AND(ROW(J133)&gt;=219,ROW(J133)&lt;=248)),"","☐ TWAIN")</f>
        <v>☐ TWAIN</v>
      </c>
      <c r="L133" s="379" t="str">
        <f>IF(AND(IF(PROD_MostPopularScanner="LC",1,0), NOT(AND(ROW(E133)&gt;=129,ROW(E133)&lt;=158)), NOT(AND(ROW(E133)&gt;=189,ROW(E133)&lt;=218))),"",
IF(N("Si OR dessous = vrai, pas de box")+OR(
N("1 OR Dendro+CELL, Tron+Folia,Cam")+OR(
AND(ROW(K133)&gt;=9,ROW(K133)&lt;=68),
AND(ROW(K133)&gt;=99,ROW(K133)&lt;=158),
AND(ROW(K133)&gt;=189,ROW(K133)&lt;=218)),
N("2 Pas de système scanopy and range opy")+AND(ROW(K133)&gt;=219,ROW(K133)&lt;=248,SCANOPY_N_System&lt;2),
N("3 Avec LC")&amp;IF(ISERROR(LEFT(J132,SEARCH("00",J132)-3)),"",LEFT(J132,SEARCH("00",J132)-3))="LC"),"","☐ ")
&amp;
IF(N("If it's OPY, put OMount Manual instead")+
AND(ROW(J133)&gt;=219,ROW(J133)&lt;=248),
IF(SCANOPY_N_System&gt;1,"OMount Man",""),
IF(N("If it is Dendro+CELL, Tron+Folia or Cam, Do not Show Scanner related items+No Video if LC")+OR(
AND(ROW(K133)&gt;=9,ROW(K133)&lt;=68),
AND(ROW(K133)&gt;=99,ROW(K133)&lt;=158),
AND(ROW(K133)&gt;=189,ROW(K133)&lt;=218),
IF(ISERROR(LEFT(J132,SEARCH("00",J132)-3)),"",LEFT(J132,SEARCH("00",J132)-3))="LC"),
    "", "Video " &amp; IF(1=N("Si système a un scanner différent du Scanner populaire alors différent, sinon Scanner populaire")+AND(NOT(ISERROR(SEARCH("System",J132))),LEFT(J132,2)&lt;&gt;LEFT(PROD_MostPopularScanner,2)),
LEFT(J132,SEARCH("00",J132)-3),
PROD_MostPopularScanner) &amp; " Install"))
)</f>
        <v/>
      </c>
      <c r="M133" s="378" t="str">
        <f>IF(N("If it is Dendro or Tron, Do not Show Color Analysis Video")+
OR(AND(ROW(L133)&gt;=9,ROW(L133)&lt;=38),
AND(ROW(L133)&gt;=99,ROW(L133)&lt;=128)), "","☐ Video ClrAna")</f>
        <v>☐ Video ClrAna</v>
      </c>
      <c r="N133" s="379" t="str">
        <f>IF(OR(INT((ROW(D133)-10)/30)+1=2,INT((ROW(D133)-10)/30)+1=4),"","☐ ")&amp;
IF(INT((ROW(D133)-10)/30)+1=1,"Scanner.cal","")&amp;
IF(INT((ROW(D133)-10)/30)+1=2,"","")&amp;
IF(INT((ROW(D133)-10)/30)+1=3,"Scanner.cal","")&amp;
IF(INT((ROW(D133)-10)/30)+1=4,"","")&amp;
IF(INT((ROW(D133)-10)/30)+1=5,"Scanner.cal","")&amp;
IF(INT((ROW(D133)-10)/30)+1=6,"Scanner.cal","")&amp;
IF(INT((ROW(D133)-10)/30)+1=7,"Scanner.cal","")&amp;
IF(INT((ROW(D133)-10)/30)+1=8,"Indiv" &amp; " Lens.cal","")</f>
        <v>☐ Scanner.cal</v>
      </c>
      <c r="O133" s="307" t="str">
        <f>IF(AND(ROW(L133)&gt;=9,ROW(L133)&lt;=38),"☐ RegentTarget.blu","")</f>
        <v/>
      </c>
      <c r="P133" s="215"/>
      <c r="Q133" s="215"/>
    </row>
    <row r="134" spans="1:17" ht="24" customHeight="1" x14ac:dyDescent="0.2">
      <c r="A134" s="431" t="s">
        <v>259</v>
      </c>
      <c r="B134" s="224" t="s">
        <v>259</v>
      </c>
      <c r="C134" s="307" t="s">
        <v>152</v>
      </c>
      <c r="D134" s="307" t="str">
        <f xml:space="preserve"> IF(N("If it is Cam, Do not Show XL")+AND(ROW(D134)&gt;=189,ROW(D134)&lt;=218),"","☐ XL Man")</f>
        <v>☐ XL Man</v>
      </c>
      <c r="E134" s="437" t="str">
        <f>IF(N("Si OR dessous = vrai, pas de box")+OR(
N("1 OR Tron ou CELL")+OR(AND(ROW(K133)&gt;=39,ROW(K133)&lt;=68),AND(ROW(K133)&gt;=99,ROW(K133)&lt;=128)),
N("2 Pas de système scanopy and range opy")+AND(ROW(K133)&gt;=219,ROW(K133)&lt;=248,SCANOPY_N_System&lt;2),
N("3 Avec LC")&amp;IF(ISERROR(LEFT(J132,SEARCH("00",J132)-3)),"",LEFT(J132,SEARCH("00",J132)-3))="LC"),"","☐ ")
&amp;
IF(N("If it's OPY, put OMount Manual instead")+
AND(ROW(J133)&gt;=219,ROW(J133)&lt;=248),
IF(SCANOPY_N_System&gt;1,"OMount Man",""),
IF(N("If it is Cell or Tron, Do not Show Scanner related items")+OR(
AND(ROW(K133)&gt;=39,ROW(K133)&lt;=68),
AND(ROW(K133)&gt;=99,ROW(K133)&lt;=128)),
    "", IF(1=N("Si système a un scanner différent du Scanner populaire alors différent, sinon Scanner populaire")+AND(NOT(ISERROR(SEARCH("System",J132))),LEFT(J132,2)&lt;&gt;LEFT(PROD_MostPopularScanner,2)),
LEFT(J132,SEARCH("00",J132)-3),
PROD_MostPopularScanner) &amp; " Install Man"))</f>
        <v>☐ Scan. Install Man</v>
      </c>
      <c r="F134" s="380" t="s">
        <v>275</v>
      </c>
      <c r="G134" s="307" t="s">
        <v>274</v>
      </c>
      <c r="H134" s="439" t="s">
        <v>250</v>
      </c>
      <c r="I134" s="381"/>
      <c r="J134" s="307" t="str">
        <f ca="1">IF(AND(
INDIRECT(
IF(INT((ROW(D134)-10)/30)+1=1,"DENDRO","")&amp;
IF(INT((ROW(D134)-10)/30)+1=2,"CELL","")&amp;
IF(INT((ROW(D134)-10)/30)+1=3,"RHIZO","")&amp;
IF(INT((ROW(D134)-10)/30)+1=4,"RHIZOTRON","")&amp;
IF(INT((ROW(D134)-10)/30)+1=5,"FOLIA","")&amp;
IF(INT((ROW(D134)-10)/30)+1=6,"SEEDLE","")&amp;
IF(INT((ROW(D134)-10)/30)+1=7,"CAM","")&amp;
IF(INT((ROW(D134)-10)/30)+1=8,"SCANOPY","") &amp; "_ChkB_RemoteUpdate"),
INDIRECT(
IF(INT((ROW(D134)-10)/30)+1=1,"DENDRO","")&amp;
IF(INT((ROW(D134)-10)/30)+1=2,"CELL","")&amp;
IF(INT((ROW(D134)-10)/30)+1=3,"RHIZO","")&amp;
IF(INT((ROW(D134)-10)/30)+1=4,"RHIZOTRON","")&amp;
IF(INT((ROW(D134)-10)/30)+1=5,"FOLIA","")&amp;
IF(INT((ROW(D134)-10)/30)+1=6,"SEEDLE","")&amp;
IF(INT((ROW(D134)-10)/30)+1=7,"CAM","")&amp;
IF(INT((ROW(D134)-10)/30)+1=8,"SCANOPY","") &amp; "_ChkBox_UpgradeUpdate")),
"Clé de bois ou Download. Reprogrammation clé client",
"☐ " &amp; IF(AND(QUOTE_Split_SoftwareHardware,QUOTE_InternetDownload),"Man ds env. ""Documents"", Clé ds bulle collée sur env.","Reliée au Man"))</f>
        <v>☐ Reliée au Man</v>
      </c>
      <c r="K134" s="265"/>
      <c r="L134" s="223"/>
      <c r="M134" s="439"/>
      <c r="N134" s="380"/>
      <c r="O134" s="307"/>
      <c r="P134" s="215"/>
      <c r="Q134" s="215"/>
    </row>
    <row r="135" spans="1:17" ht="16.25" customHeight="1" x14ac:dyDescent="0.2">
      <c r="A135" s="419"/>
      <c r="B135" s="294"/>
      <c r="C135" s="887" t="str">
        <f>IF((FOLIA_N_UpgradeUpdate + FOLIA_N_Software ) = 2,"",LEFT(INDEX(FOLIA_SoftwareFullNames,FOLIA_IndexSoftware),FIND(" ",INDEX(FOLIA_SoftwareFullNames,FOLIA_IndexSoftware),FIND(" ",INDEX(FOLIA_SoftwareFullNames,FOLIA_IndexSoftware))+1)) &amp;
FOLIA_YearMostRecent )</f>
        <v/>
      </c>
      <c r="D135" s="887"/>
      <c r="E135" s="302"/>
      <c r="F135" s="302"/>
      <c r="G135" s="273" t="str">
        <f>IF(FOLIA_OptionXL*(FOLIA_N_Software+FOLIA_N_UpgradeUpdate-2)&gt;=((ROW(G135)-ROW($G$129))/4+1),"XLFOLIA "&amp; FOLIA_YearMostRecent,"")</f>
        <v/>
      </c>
      <c r="H135" s="257"/>
      <c r="I135" s="257"/>
      <c r="J135" s="273" t="str">
        <f>IF(FOLIA_N_System-1&gt;=((ROW(G135)-ROW($G$129))/4+1),IF(FOLIA_IndexScanner=1,"STD4800",IF(FOLIA_IndexScanner=2,"LA2400","LC4800P")) &amp; " System"&amp; IF(AND(FOLIA_ClientWithOrWithoutScanner=2,FOLIA_N_System&gt;1)," Sans Scanner"," Avec Scanner"),
IF(AND(FOLIA_N_Software&gt;FOLIA_N_System,FOLIA_N_Software-1&gt;=((ROW(G135)-ROW($G$129))/4+1)),IF(N_SystemTotal=0,"Software Only",IF(N_STDScanners+N_LAScanners+N_LCScanners=0,"Software Sans Scanner","Software Avec Scanner")),
IF(FOLIA_N_UpgradeUpdate-1&gt;=((ROW(G135)-ROW($G$129))/4+1)-(MAX(FOLIA_N_System,FOLIA_N_Software)-1),"Update","")))</f>
        <v/>
      </c>
      <c r="K135" s="257"/>
      <c r="L135" s="256"/>
      <c r="M135" s="256"/>
      <c r="N135" s="256"/>
      <c r="O135" s="215"/>
      <c r="P135" s="215"/>
      <c r="Q135" s="215"/>
    </row>
    <row r="136" spans="1:17" ht="24" customHeight="1" x14ac:dyDescent="0.2">
      <c r="A136" s="431" t="s">
        <v>258</v>
      </c>
      <c r="B136" s="287" t="s">
        <v>258</v>
      </c>
      <c r="C136" s="378" t="str">
        <f>IF(AND(QUOTE_Split_SoftwareHardware,QUOTE_InternetDownload),"",
"☐☐ Win" &amp;
IF(INT((ROW(D136)-10)/30)+1=1,"DEN","")&amp;
IF(INT((ROW(D136)-10)/30)+1=2,"CEL","")&amp;
IF(INT((ROW(D136)-10)/30)+1=3,"RHI","")&amp;
IF(INT((ROW(D136)-10)/30)+1=4,"RT","")&amp;
IF(INT((ROW(D136)-10)/30)+1=5,"FOL","")&amp;
IF(INT((ROW(D136)-10)/30)+1=6,"SEE","")&amp;
IF(INT((ROW(D136)-10)/30)+1=7,"CAM","")&amp;
IF(INT((ROW(D136)-10)/30)+1=8,"SCA","") &amp; ".exe")</f>
        <v>☐☐ WinFOL.exe</v>
      </c>
      <c r="D136" s="378" t="str">
        <f>IF(AND(QUOTE_Split_SoftwareHardware,QUOTE_InternetDownload),"",
 IF(N("If it is Cam, Do not Show XL")+AND(ROW(D136)&gt;=189,ROW(D136)&lt;=218),"","☐ XL" &amp;
IF(INT((ROW(D136)-10)/30)+1=1,"STEM","")&amp;
IF(INT((ROW(D136)-10)/30)+1=2,"Cell","")&amp;
IF(INT((ROW(D136)-10)/30)+1=3,"Rhizo","")&amp;
IF(INT((ROW(D136)-10)/30)+1=4,"RhizoT","")&amp;
IF(INT((ROW(D136)-10)/30)+1=5,"Folia","")&amp;
IF(INT((ROW(D136)-10)/30)+1=6,"Seedle","")&amp;
IF(INT((ROW(D136)-10)/30)+1=7,"Cam","")&amp;
IF(INT((ROW(D136)-10)/30)+1=8,"Scanopy","") &amp; ".xls"))</f>
        <v>☐ XLFolia.xls</v>
      </c>
      <c r="E136" s="378" t="s">
        <v>299</v>
      </c>
      <c r="F136" s="379" t="s">
        <v>152</v>
      </c>
      <c r="G136" s="378" t="str">
        <f xml:space="preserve"> IF(N("If it is Cam, Do not Show XL")+AND(ROW(G136)&gt;=189,ROW(G136)&lt;=218),"","☐ XL Man")</f>
        <v>☐ XL Man</v>
      </c>
      <c r="H136" s="379" t="s">
        <v>280</v>
      </c>
      <c r="I136" s="307" t="s">
        <v>274</v>
      </c>
      <c r="J136" s="379" t="str">
        <f>IF(N("Si OR dessous = vrai, pas de box")+OR(
N("1 OR Tron ou CELL")+OR(AND(ROW(E136)&gt;=39,ROW(E136)&lt;=68),AND(ROW(E136)&gt;=99,ROW(E136)&lt;=128)),
N("2 Pas de système scanopy and range opy")+AND(ROW(E136)&gt;=219,ROW(E136)&lt;=248,SCANOPY_N_System&lt;2),
N("3 Avec LC") + IF(AND(IF(PROD_MostPopularScanner="LC",1,0), NOT(AND(ROW(E136)&gt;=129,ROW(E136)&lt;=158)), NOT(AND(ROW(E136)&gt;=189,ROW(E136)&lt;=218))),1,0)
),"","☐ ")
&amp;
IF(N("If it's OPY, put OMount Manual instead")+
AND(ROW(D136)&gt;=219,ROW(D136)&lt;=248),
IF(SCANOPY_N_System&gt;1,
IF(SCANOPY_IndexScanner=1,"α" &amp; SCANOPY_CameraModel,SCANOPY_CameraModel_Mini) &amp; " Man",""),
IF(N("Empty si OR = true . . .If it is Cell or Tron, Do not Show Scanner related items + Hide if LC is favorite on unavailable product")+OR(
AND(ROW(E136)&gt;=39,ROW(E136)&lt;=68),
AND(ROW(E136)&gt;=99,ROW(E136)&lt;=128),
AND(IF(PROD_MostPopularScanner="LC",1,0), NOT(AND(ROW(E136)&gt;=129,ROW(E136)&lt;=158)), NOT(AND(ROW(E136)&gt;=189,ROW(E136)&lt;=218))),
0=1),
    "", IF(1=N("Si système a un scanner différent du Scanner populaire alors différent, sinon Scanner populaire")+AND(NOT(ISERROR(SEARCH("System",J135))),LEFT(J135,2)&lt;&gt;LEFT(PROD_MostPopularScanner,2)),
LEFT(J135,SEARCH("00",J135)-3),
PROD_MostPopularScanner) &amp; " Install Man"))</f>
        <v>☐ Scan. Install Man</v>
      </c>
      <c r="K136" s="378" t="str">
        <f>IF(N("If it is Cell or Tron or OPY, Do not Show Twain")+OR(AND(ROW(K136)&gt;=39,ROW(K136)&lt;=68),AND(ROW(K136)&gt;=99,ROW(K136)&lt;=128),AND(ROW(J136)&gt;=219,ROW(J136)&lt;=248)),"","☐ TWAIN")</f>
        <v>☐ TWAIN</v>
      </c>
      <c r="L136" s="379" t="str">
        <f>IF(AND(IF(PROD_MostPopularScanner="LC",1,0), NOT(AND(ROW(E136)&gt;=129,ROW(E136)&lt;=158)), NOT(AND(ROW(E136)&gt;=189,ROW(E136)&lt;=218))),"",
IF(N("Si OR dessous = vrai, pas de box")+OR(
N("1 OR Dendro+CELL, Tron+Folia,Cam")+OR(
AND(ROW(K136)&gt;=9,ROW(K136)&lt;=68),
AND(ROW(K136)&gt;=99,ROW(K136)&lt;=158),
AND(ROW(K136)&gt;=189,ROW(K136)&lt;=218)),
N("2 Pas de système scanopy and range opy")+AND(ROW(K136)&gt;=219,ROW(K136)&lt;=248,SCANOPY_N_System&lt;2),
N("3 Avec LC")&amp;IF(ISERROR(LEFT(J135,SEARCH("00",J135)-3)),"",LEFT(J135,SEARCH("00",J135)-3))="LC"),"","☐ ")
&amp;
IF(N("If it's OPY, put OMount Manual instead")+
AND(ROW(J136)&gt;=219,ROW(J136)&lt;=248),
IF(SCANOPY_N_System&gt;1,"OMount Man",""),
IF(N("If it is Dendro+CELL, Tron+Folia or Cam, Do not Show Scanner related items+No Video if LC")+OR(
AND(ROW(K136)&gt;=9,ROW(K136)&lt;=68),
AND(ROW(K136)&gt;=99,ROW(K136)&lt;=158),
AND(ROW(K136)&gt;=189,ROW(K136)&lt;=218),
IF(ISERROR(LEFT(J135,SEARCH("00",J135)-3)),"",LEFT(J135,SEARCH("00",J135)-3))="LC"),
    "", "Video " &amp; IF(1=N("Si système a un scanner différent du Scanner populaire alors différent, sinon Scanner populaire")+AND(NOT(ISERROR(SEARCH("System",J135))),LEFT(J135,2)&lt;&gt;LEFT(PROD_MostPopularScanner,2)),
LEFT(J135,SEARCH("00",J135)-3),
PROD_MostPopularScanner) &amp; " Install"))
)</f>
        <v/>
      </c>
      <c r="M136" s="378" t="str">
        <f>IF(N("If it is Dendro or Tron, Do not Show Color Analysis Video")+
OR(AND(ROW(L136)&gt;=9,ROW(L136)&lt;=38),
AND(ROW(L136)&gt;=99,ROW(L136)&lt;=128)), "","☐ Video ClrAna")</f>
        <v>☐ Video ClrAna</v>
      </c>
      <c r="N136" s="379" t="str">
        <f>IF(OR(INT((ROW(D136)-10)/30)+1=2,INT((ROW(D136)-10)/30)+1=4),"","☐ ")&amp;
IF(INT((ROW(D136)-10)/30)+1=1,"Scanner.cal","")&amp;
IF(INT((ROW(D136)-10)/30)+1=2,"","")&amp;
IF(INT((ROW(D136)-10)/30)+1=3,"Scanner.cal","")&amp;
IF(INT((ROW(D136)-10)/30)+1=4,"","")&amp;
IF(INT((ROW(D136)-10)/30)+1=5,"Scanner.cal","")&amp;
IF(INT((ROW(D136)-10)/30)+1=6,"Scanner.cal","")&amp;
IF(INT((ROW(D136)-10)/30)+1=7,"Scanner.cal","")&amp;
IF(INT((ROW(D136)-10)/30)+1=8,"Indiv" &amp; " Lens.cal","")</f>
        <v>☐ Scanner.cal</v>
      </c>
      <c r="O136" s="307" t="str">
        <f>IF(AND(ROW(L136)&gt;=9,ROW(L136)&lt;=38),"☐ RegentTarget.blu","")</f>
        <v/>
      </c>
      <c r="P136" s="215"/>
      <c r="Q136" s="215"/>
    </row>
    <row r="137" spans="1:17" ht="24" customHeight="1" x14ac:dyDescent="0.2">
      <c r="A137" s="431" t="s">
        <v>259</v>
      </c>
      <c r="B137" s="224" t="s">
        <v>259</v>
      </c>
      <c r="C137" s="307" t="s">
        <v>152</v>
      </c>
      <c r="D137" s="307" t="str">
        <f xml:space="preserve"> IF(N("If it is Cam, Do not Show XL")+AND(ROW(D137)&gt;=189,ROW(D137)&lt;=218),"","☐ XL Man")</f>
        <v>☐ XL Man</v>
      </c>
      <c r="E137" s="437" t="str">
        <f>IF(N("Si OR dessous = vrai, pas de box")+OR(
N("1 OR Tron ou CELL")+OR(AND(ROW(K136)&gt;=39,ROW(K136)&lt;=68),AND(ROW(K136)&gt;=99,ROW(K136)&lt;=128)),
N("2 Pas de système scanopy and range opy")+AND(ROW(K136)&gt;=219,ROW(K136)&lt;=248,SCANOPY_N_System&lt;2),
N("3 Avec LC")&amp;IF(ISERROR(LEFT(J135,SEARCH("00",J135)-3)),"",LEFT(J135,SEARCH("00",J135)-3))="LC"),"","☐ ")
&amp;
IF(N("If it's OPY, put OMount Manual instead")+
AND(ROW(J136)&gt;=219,ROW(J136)&lt;=248),
IF(SCANOPY_N_System&gt;1,"OMount Man",""),
IF(N("If it is Cell or Tron, Do not Show Scanner related items")+OR(
AND(ROW(K136)&gt;=39,ROW(K136)&lt;=68),
AND(ROW(K136)&gt;=99,ROW(K136)&lt;=128)),
    "", IF(1=N("Si système a un scanner différent du Scanner populaire alors différent, sinon Scanner populaire")+AND(NOT(ISERROR(SEARCH("System",J135))),LEFT(J135,2)&lt;&gt;LEFT(PROD_MostPopularScanner,2)),
LEFT(J135,SEARCH("00",J135)-3),
PROD_MostPopularScanner) &amp; " Install Man"))</f>
        <v>☐ Scan. Install Man</v>
      </c>
      <c r="F137" s="380" t="s">
        <v>275</v>
      </c>
      <c r="G137" s="307" t="s">
        <v>274</v>
      </c>
      <c r="H137" s="439" t="s">
        <v>250</v>
      </c>
      <c r="I137" s="381"/>
      <c r="J137" s="307" t="str">
        <f ca="1">IF(AND(
INDIRECT(
IF(INT((ROW(D137)-10)/30)+1=1,"DENDRO","")&amp;
IF(INT((ROW(D137)-10)/30)+1=2,"CELL","")&amp;
IF(INT((ROW(D137)-10)/30)+1=3,"RHIZO","")&amp;
IF(INT((ROW(D137)-10)/30)+1=4,"RHIZOTRON","")&amp;
IF(INT((ROW(D137)-10)/30)+1=5,"FOLIA","")&amp;
IF(INT((ROW(D137)-10)/30)+1=6,"SEEDLE","")&amp;
IF(INT((ROW(D137)-10)/30)+1=7,"CAM","")&amp;
IF(INT((ROW(D137)-10)/30)+1=8,"SCANOPY","") &amp; "_ChkB_RemoteUpdate"),
INDIRECT(
IF(INT((ROW(D137)-10)/30)+1=1,"DENDRO","")&amp;
IF(INT((ROW(D137)-10)/30)+1=2,"CELL","")&amp;
IF(INT((ROW(D137)-10)/30)+1=3,"RHIZO","")&amp;
IF(INT((ROW(D137)-10)/30)+1=4,"RHIZOTRON","")&amp;
IF(INT((ROW(D137)-10)/30)+1=5,"FOLIA","")&amp;
IF(INT((ROW(D137)-10)/30)+1=6,"SEEDLE","")&amp;
IF(INT((ROW(D137)-10)/30)+1=7,"CAM","")&amp;
IF(INT((ROW(D137)-10)/30)+1=8,"SCANOPY","") &amp; "_ChkBox_UpgradeUpdate")),
"Clé de bois ou Download. Reprogrammation clé client",
"☐ " &amp; IF(AND(QUOTE_Split_SoftwareHardware,QUOTE_InternetDownload),"Man ds env. ""Documents"", Clé ds bulle collée sur env.","Reliée au Man"))</f>
        <v>☐ Reliée au Man</v>
      </c>
      <c r="K137" s="265"/>
      <c r="L137" s="223"/>
      <c r="M137" s="439"/>
      <c r="N137" s="380"/>
      <c r="O137" s="307"/>
      <c r="P137" s="215"/>
      <c r="Q137" s="215"/>
    </row>
    <row r="138" spans="1:17" ht="16.25" customHeight="1" x14ac:dyDescent="0.2">
      <c r="A138" s="419"/>
      <c r="B138" s="294"/>
      <c r="C138" s="887" t="str">
        <f>IF((FOLIA_N_UpgradeUpdate + FOLIA_N_Software ) = 2,"",LEFT(INDEX(FOLIA_SoftwareFullNames,FOLIA_IndexSoftware),FIND(" ",INDEX(FOLIA_SoftwareFullNames,FOLIA_IndexSoftware),FIND(" ",INDEX(FOLIA_SoftwareFullNames,FOLIA_IndexSoftware))+1)) &amp;
FOLIA_YearMostRecent )</f>
        <v/>
      </c>
      <c r="D138" s="887"/>
      <c r="E138" s="302"/>
      <c r="F138" s="302"/>
      <c r="G138" s="273" t="str">
        <f>IF(FOLIA_OptionXL*(FOLIA_N_Software+FOLIA_N_UpgradeUpdate-2)&gt;=((ROW(G138)-ROW($G$129))/4+1),"XLFOLIA "&amp; FOLIA_YearMostRecent,"")</f>
        <v/>
      </c>
      <c r="H138" s="257"/>
      <c r="I138" s="257"/>
      <c r="J138" s="273" t="str">
        <f>IF(FOLIA_N_System-1&gt;=((ROW(G138)-ROW($G$129))/4+1),IF(FOLIA_IndexScanner=1,"STD4800",IF(FOLIA_IndexScanner=2,"LA2400","LC4800P")) &amp; " System"&amp; IF(AND(FOLIA_ClientWithOrWithoutScanner=2,FOLIA_N_System&gt;1)," Sans Scanner"," Avec Scanner"),
IF(AND(FOLIA_N_Software&gt;FOLIA_N_System,FOLIA_N_Software-1&gt;=((ROW(G138)-ROW($G$129))/4+1)),IF(N_SystemTotal=0,"Software Only",IF(N_STDScanners+N_LAScanners+N_LCScanners=0,"Software Sans Scanner","Software Avec Scanner")),
IF(FOLIA_N_UpgradeUpdate-1&gt;=((ROW(G138)-ROW($G$129))/4+1)-(MAX(FOLIA_N_System,FOLIA_N_Software)-1),"Update","")))</f>
        <v/>
      </c>
      <c r="K138" s="257"/>
      <c r="L138" s="256"/>
      <c r="M138" s="256"/>
      <c r="N138" s="256"/>
      <c r="O138" s="215"/>
      <c r="P138" s="215"/>
      <c r="Q138" s="215"/>
    </row>
    <row r="139" spans="1:17" ht="24" customHeight="1" x14ac:dyDescent="0.2">
      <c r="A139" s="431" t="s">
        <v>258</v>
      </c>
      <c r="B139" s="287" t="s">
        <v>258</v>
      </c>
      <c r="C139" s="378" t="str">
        <f>IF(AND(QUOTE_Split_SoftwareHardware,QUOTE_InternetDownload),"",
"☐☐ Win" &amp;
IF(INT((ROW(D139)-10)/30)+1=1,"DEN","")&amp;
IF(INT((ROW(D139)-10)/30)+1=2,"CEL","")&amp;
IF(INT((ROW(D139)-10)/30)+1=3,"RHI","")&amp;
IF(INT((ROW(D139)-10)/30)+1=4,"RT","")&amp;
IF(INT((ROW(D139)-10)/30)+1=5,"FOL","")&amp;
IF(INT((ROW(D139)-10)/30)+1=6,"SEE","")&amp;
IF(INT((ROW(D139)-10)/30)+1=7,"CAM","")&amp;
IF(INT((ROW(D139)-10)/30)+1=8,"SCA","") &amp; ".exe")</f>
        <v>☐☐ WinFOL.exe</v>
      </c>
      <c r="D139" s="378" t="str">
        <f>IF(AND(QUOTE_Split_SoftwareHardware,QUOTE_InternetDownload),"",
 IF(N("If it is Cam, Do not Show XL")+AND(ROW(D139)&gt;=189,ROW(D139)&lt;=218),"","☐ XL" &amp;
IF(INT((ROW(D139)-10)/30)+1=1,"STEM","")&amp;
IF(INT((ROW(D139)-10)/30)+1=2,"Cell","")&amp;
IF(INT((ROW(D139)-10)/30)+1=3,"Rhizo","")&amp;
IF(INT((ROW(D139)-10)/30)+1=4,"RhizoT","")&amp;
IF(INT((ROW(D139)-10)/30)+1=5,"Folia","")&amp;
IF(INT((ROW(D139)-10)/30)+1=6,"Seedle","")&amp;
IF(INT((ROW(D139)-10)/30)+1=7,"Cam","")&amp;
IF(INT((ROW(D139)-10)/30)+1=8,"Scanopy","") &amp; ".xls"))</f>
        <v>☐ XLFolia.xls</v>
      </c>
      <c r="E139" s="378" t="s">
        <v>299</v>
      </c>
      <c r="F139" s="379" t="s">
        <v>152</v>
      </c>
      <c r="G139" s="378" t="str">
        <f xml:space="preserve"> IF(N("If it is Cam, Do not Show XL")+AND(ROW(G139)&gt;=189,ROW(G139)&lt;=218),"","☐ XL Man")</f>
        <v>☐ XL Man</v>
      </c>
      <c r="H139" s="379" t="s">
        <v>280</v>
      </c>
      <c r="I139" s="307" t="s">
        <v>274</v>
      </c>
      <c r="J139" s="379" t="str">
        <f>IF(N("Si OR dessous = vrai, pas de box")+OR(
N("1 OR Tron ou CELL")+OR(AND(ROW(E139)&gt;=39,ROW(E139)&lt;=68),AND(ROW(E139)&gt;=99,ROW(E139)&lt;=128)),
N("2 Pas de système scanopy and range opy")+AND(ROW(E139)&gt;=219,ROW(E139)&lt;=248,SCANOPY_N_System&lt;2),
N("3 Avec LC") + IF(AND(IF(PROD_MostPopularScanner="LC",1,0), NOT(AND(ROW(E139)&gt;=129,ROW(E139)&lt;=158)), NOT(AND(ROW(E139)&gt;=189,ROW(E139)&lt;=218))),1,0)
),"","☐ ")
&amp;
IF(N("If it's OPY, put OMount Manual instead")+
AND(ROW(D139)&gt;=219,ROW(D139)&lt;=248),
IF(SCANOPY_N_System&gt;1,
IF(SCANOPY_IndexScanner=1,"α" &amp; SCANOPY_CameraModel,SCANOPY_CameraModel_Mini) &amp; " Man",""),
IF(N("Empty si OR = true . . .If it is Cell or Tron, Do not Show Scanner related items + Hide if LC is favorite on unavailable product")+OR(
AND(ROW(E139)&gt;=39,ROW(E139)&lt;=68),
AND(ROW(E139)&gt;=99,ROW(E139)&lt;=128),
AND(IF(PROD_MostPopularScanner="LC",1,0), NOT(AND(ROW(E139)&gt;=129,ROW(E139)&lt;=158)), NOT(AND(ROW(E139)&gt;=189,ROW(E139)&lt;=218))),
0=1),
    "", IF(1=N("Si système a un scanner différent du Scanner populaire alors différent, sinon Scanner populaire")+AND(NOT(ISERROR(SEARCH("System",J138))),LEFT(J138,2)&lt;&gt;LEFT(PROD_MostPopularScanner,2)),
LEFT(J138,SEARCH("00",J138)-3),
PROD_MostPopularScanner) &amp; " Install Man"))</f>
        <v>☐ Scan. Install Man</v>
      </c>
      <c r="K139" s="378" t="str">
        <f>IF(N("If it is Cell or Tron or OPY, Do not Show Twain")+OR(AND(ROW(K139)&gt;=39,ROW(K139)&lt;=68),AND(ROW(K139)&gt;=99,ROW(K139)&lt;=128),AND(ROW(J139)&gt;=219,ROW(J139)&lt;=248)),"","☐ TWAIN")</f>
        <v>☐ TWAIN</v>
      </c>
      <c r="L139" s="379" t="str">
        <f>IF(AND(IF(PROD_MostPopularScanner="LC",1,0), NOT(AND(ROW(E139)&gt;=129,ROW(E139)&lt;=158)), NOT(AND(ROW(E139)&gt;=189,ROW(E139)&lt;=218))),"",
IF(N("Si OR dessous = vrai, pas de box")+OR(
N("1 OR Dendro+CELL, Tron+Folia,Cam")+OR(
AND(ROW(K139)&gt;=9,ROW(K139)&lt;=68),
AND(ROW(K139)&gt;=99,ROW(K139)&lt;=158),
AND(ROW(K139)&gt;=189,ROW(K139)&lt;=218)),
N("2 Pas de système scanopy and range opy")+AND(ROW(K139)&gt;=219,ROW(K139)&lt;=248,SCANOPY_N_System&lt;2),
N("3 Avec LC")&amp;IF(ISERROR(LEFT(J138,SEARCH("00",J138)-3)),"",LEFT(J138,SEARCH("00",J138)-3))="LC"),"","☐ ")
&amp;
IF(N("If it's OPY, put OMount Manual instead")+
AND(ROW(J139)&gt;=219,ROW(J139)&lt;=248),
IF(SCANOPY_N_System&gt;1,"OMount Man",""),
IF(N("If it is Dendro+CELL, Tron+Folia or Cam, Do not Show Scanner related items+No Video if LC")+OR(
AND(ROW(K139)&gt;=9,ROW(K139)&lt;=68),
AND(ROW(K139)&gt;=99,ROW(K139)&lt;=158),
AND(ROW(K139)&gt;=189,ROW(K139)&lt;=218),
IF(ISERROR(LEFT(J138,SEARCH("00",J138)-3)),"",LEFT(J138,SEARCH("00",J138)-3))="LC"),
    "", "Video " &amp; IF(1=N("Si système a un scanner différent du Scanner populaire alors différent, sinon Scanner populaire")+AND(NOT(ISERROR(SEARCH("System",J138))),LEFT(J138,2)&lt;&gt;LEFT(PROD_MostPopularScanner,2)),
LEFT(J138,SEARCH("00",J138)-3),
PROD_MostPopularScanner) &amp; " Install"))
)</f>
        <v/>
      </c>
      <c r="M139" s="378" t="str">
        <f>IF(N("If it is Dendro or Tron, Do not Show Color Analysis Video")+
OR(AND(ROW(L139)&gt;=9,ROW(L139)&lt;=38),
AND(ROW(L139)&gt;=99,ROW(L139)&lt;=128)), "","☐ Video ClrAna")</f>
        <v>☐ Video ClrAna</v>
      </c>
      <c r="N139" s="379" t="str">
        <f>IF(OR(INT((ROW(D139)-10)/30)+1=2,INT((ROW(D139)-10)/30)+1=4),"","☐ ")&amp;
IF(INT((ROW(D139)-10)/30)+1=1,"Scanner.cal","")&amp;
IF(INT((ROW(D139)-10)/30)+1=2,"","")&amp;
IF(INT((ROW(D139)-10)/30)+1=3,"Scanner.cal","")&amp;
IF(INT((ROW(D139)-10)/30)+1=4,"","")&amp;
IF(INT((ROW(D139)-10)/30)+1=5,"Scanner.cal","")&amp;
IF(INT((ROW(D139)-10)/30)+1=6,"Scanner.cal","")&amp;
IF(INT((ROW(D139)-10)/30)+1=7,"Scanner.cal","")&amp;
IF(INT((ROW(D139)-10)/30)+1=8,"Indiv" &amp; " Lens.cal","")</f>
        <v>☐ Scanner.cal</v>
      </c>
      <c r="O139" s="307" t="str">
        <f>IF(AND(ROW(L139)&gt;=9,ROW(L139)&lt;=38),"☐ RegentTarget.blu","")</f>
        <v/>
      </c>
      <c r="P139" s="215"/>
      <c r="Q139" s="215"/>
    </row>
    <row r="140" spans="1:17" ht="24" customHeight="1" x14ac:dyDescent="0.2">
      <c r="A140" s="431" t="s">
        <v>259</v>
      </c>
      <c r="B140" s="224" t="s">
        <v>259</v>
      </c>
      <c r="C140" s="307" t="s">
        <v>152</v>
      </c>
      <c r="D140" s="307" t="str">
        <f xml:space="preserve"> IF(N("If it is Cam, Do not Show XL")+AND(ROW(D140)&gt;=189,ROW(D140)&lt;=218),"","☐ XL Man")</f>
        <v>☐ XL Man</v>
      </c>
      <c r="E140" s="437" t="str">
        <f>IF(N("Si OR dessous = vrai, pas de box")+OR(
N("1 OR Tron ou CELL")+OR(AND(ROW(K139)&gt;=39,ROW(K139)&lt;=68),AND(ROW(K139)&gt;=99,ROW(K139)&lt;=128)),
N("2 Pas de système scanopy and range opy")+AND(ROW(K139)&gt;=219,ROW(K139)&lt;=248,SCANOPY_N_System&lt;2),
N("3 Avec LC")&amp;IF(ISERROR(LEFT(J138,SEARCH("00",J138)-3)),"",LEFT(J138,SEARCH("00",J138)-3))="LC"),"","☐ ")
&amp;
IF(N("If it's OPY, put OMount Manual instead")+
AND(ROW(J139)&gt;=219,ROW(J139)&lt;=248),
IF(SCANOPY_N_System&gt;1,"OMount Man",""),
IF(N("If it is Cell or Tron, Do not Show Scanner related items")+OR(
AND(ROW(K139)&gt;=39,ROW(K139)&lt;=68),
AND(ROW(K139)&gt;=99,ROW(K139)&lt;=128)),
    "", IF(1=N("Si système a un scanner différent du Scanner populaire alors différent, sinon Scanner populaire")+AND(NOT(ISERROR(SEARCH("System",J138))),LEFT(J138,2)&lt;&gt;LEFT(PROD_MostPopularScanner,2)),
LEFT(J138,SEARCH("00",J138)-3),
PROD_MostPopularScanner) &amp; " Install Man"))</f>
        <v>☐ Scan. Install Man</v>
      </c>
      <c r="F140" s="380" t="s">
        <v>275</v>
      </c>
      <c r="G140" s="307" t="s">
        <v>274</v>
      </c>
      <c r="H140" s="439" t="s">
        <v>250</v>
      </c>
      <c r="I140" s="381"/>
      <c r="J140" s="307" t="str">
        <f ca="1">IF(AND(
INDIRECT(
IF(INT((ROW(D140)-10)/30)+1=1,"DENDRO","")&amp;
IF(INT((ROW(D140)-10)/30)+1=2,"CELL","")&amp;
IF(INT((ROW(D140)-10)/30)+1=3,"RHIZO","")&amp;
IF(INT((ROW(D140)-10)/30)+1=4,"RHIZOTRON","")&amp;
IF(INT((ROW(D140)-10)/30)+1=5,"FOLIA","")&amp;
IF(INT((ROW(D140)-10)/30)+1=6,"SEEDLE","")&amp;
IF(INT((ROW(D140)-10)/30)+1=7,"CAM","")&amp;
IF(INT((ROW(D140)-10)/30)+1=8,"SCANOPY","") &amp; "_ChkB_RemoteUpdate"),
INDIRECT(
IF(INT((ROW(D140)-10)/30)+1=1,"DENDRO","")&amp;
IF(INT((ROW(D140)-10)/30)+1=2,"CELL","")&amp;
IF(INT((ROW(D140)-10)/30)+1=3,"RHIZO","")&amp;
IF(INT((ROW(D140)-10)/30)+1=4,"RHIZOTRON","")&amp;
IF(INT((ROW(D140)-10)/30)+1=5,"FOLIA","")&amp;
IF(INT((ROW(D140)-10)/30)+1=6,"SEEDLE","")&amp;
IF(INT((ROW(D140)-10)/30)+1=7,"CAM","")&amp;
IF(INT((ROW(D140)-10)/30)+1=8,"SCANOPY","") &amp; "_ChkBox_UpgradeUpdate")),
"Clé de bois ou Download. Reprogrammation clé client",
"☐ " &amp; IF(AND(QUOTE_Split_SoftwareHardware,QUOTE_InternetDownload),"Man ds env. ""Documents"", Clé ds bulle collée sur env.","Reliée au Man"))</f>
        <v>☐ Reliée au Man</v>
      </c>
      <c r="K140" s="265"/>
      <c r="L140" s="223"/>
      <c r="M140" s="439"/>
      <c r="N140" s="380"/>
      <c r="O140" s="307"/>
      <c r="P140" s="215"/>
      <c r="Q140" s="215"/>
    </row>
    <row r="141" spans="1:17" ht="16.25" customHeight="1" x14ac:dyDescent="0.2">
      <c r="A141" s="419"/>
      <c r="B141" s="294"/>
      <c r="C141" s="887" t="str">
        <f>IF((FOLIA_N_UpgradeUpdate + FOLIA_N_Software ) = 2,"",LEFT(INDEX(FOLIA_SoftwareFullNames,FOLIA_IndexSoftware),FIND(" ",INDEX(FOLIA_SoftwareFullNames,FOLIA_IndexSoftware),FIND(" ",INDEX(FOLIA_SoftwareFullNames,FOLIA_IndexSoftware))+1)) &amp;
FOLIA_YearMostRecent )</f>
        <v/>
      </c>
      <c r="D141" s="887"/>
      <c r="E141" s="302"/>
      <c r="F141" s="302"/>
      <c r="G141" s="273" t="str">
        <f>IF(FOLIA_OptionXL*(FOLIA_N_Software+FOLIA_N_UpgradeUpdate-2)&gt;=((ROW(G141)-ROW($G$129))/4+1),"XLFOLIA "&amp; FOLIA_YearMostRecent,"")</f>
        <v/>
      </c>
      <c r="H141" s="257"/>
      <c r="I141" s="257"/>
      <c r="J141" s="273" t="str">
        <f>IF(FOLIA_N_System-1&gt;=((ROW(G141)-ROW($G$129))/4+1),IF(FOLIA_IndexScanner=1,"STD4800",IF(FOLIA_IndexScanner=2,"LA2400","LC4800P")) &amp; " System"&amp; IF(AND(FOLIA_ClientWithOrWithoutScanner=2,FOLIA_N_System&gt;1)," Sans Scanner"," Avec Scanner"),
IF(AND(FOLIA_N_Software&gt;FOLIA_N_System,FOLIA_N_Software-1&gt;=((ROW(G141)-ROW($G$129))/4+1)),IF(N_SystemTotal=0,"Software Only",IF(N_STDScanners+N_LAScanners+N_LCScanners=0,"Software Sans Scanner","Software Avec Scanner")),
IF(FOLIA_N_UpgradeUpdate-1&gt;=((ROW(G141)-ROW($G$129))/4+1)-(MAX(FOLIA_N_System,FOLIA_N_Software)-1),"Update","")))</f>
        <v/>
      </c>
      <c r="K141" s="257"/>
      <c r="L141" s="256"/>
      <c r="M141" s="256"/>
      <c r="N141" s="256"/>
      <c r="O141" s="215"/>
      <c r="P141" s="215"/>
      <c r="Q141" s="215"/>
    </row>
    <row r="142" spans="1:17" ht="24" customHeight="1" x14ac:dyDescent="0.2">
      <c r="A142" s="431" t="s">
        <v>258</v>
      </c>
      <c r="B142" s="287" t="s">
        <v>258</v>
      </c>
      <c r="C142" s="378" t="str">
        <f>IF(AND(QUOTE_Split_SoftwareHardware,QUOTE_InternetDownload),"",
"☐☐ Win" &amp;
IF(INT((ROW(D142)-10)/30)+1=1,"DEN","")&amp;
IF(INT((ROW(D142)-10)/30)+1=2,"CEL","")&amp;
IF(INT((ROW(D142)-10)/30)+1=3,"RHI","")&amp;
IF(INT((ROW(D142)-10)/30)+1=4,"RT","")&amp;
IF(INT((ROW(D142)-10)/30)+1=5,"FOL","")&amp;
IF(INT((ROW(D142)-10)/30)+1=6,"SEE","")&amp;
IF(INT((ROW(D142)-10)/30)+1=7,"CAM","")&amp;
IF(INT((ROW(D142)-10)/30)+1=8,"SCA","") &amp; ".exe")</f>
        <v>☐☐ WinFOL.exe</v>
      </c>
      <c r="D142" s="378" t="str">
        <f>IF(AND(QUOTE_Split_SoftwareHardware,QUOTE_InternetDownload),"",
 IF(N("If it is Cam, Do not Show XL")+AND(ROW(D142)&gt;=189,ROW(D142)&lt;=218),"","☐ XL" &amp;
IF(INT((ROW(D142)-10)/30)+1=1,"STEM","")&amp;
IF(INT((ROW(D142)-10)/30)+1=2,"Cell","")&amp;
IF(INT((ROW(D142)-10)/30)+1=3,"Rhizo","")&amp;
IF(INT((ROW(D142)-10)/30)+1=4,"RhizoT","")&amp;
IF(INT((ROW(D142)-10)/30)+1=5,"Folia","")&amp;
IF(INT((ROW(D142)-10)/30)+1=6,"Seedle","")&amp;
IF(INT((ROW(D142)-10)/30)+1=7,"Cam","")&amp;
IF(INT((ROW(D142)-10)/30)+1=8,"Scanopy","") &amp; ".xls"))</f>
        <v>☐ XLFolia.xls</v>
      </c>
      <c r="E142" s="378" t="s">
        <v>299</v>
      </c>
      <c r="F142" s="379" t="s">
        <v>152</v>
      </c>
      <c r="G142" s="378" t="str">
        <f xml:space="preserve"> IF(N("If it is Cam, Do not Show XL")+AND(ROW(G142)&gt;=189,ROW(G142)&lt;=218),"","☐ XL Man")</f>
        <v>☐ XL Man</v>
      </c>
      <c r="H142" s="379" t="s">
        <v>280</v>
      </c>
      <c r="I142" s="307" t="s">
        <v>274</v>
      </c>
      <c r="J142" s="379" t="str">
        <f>IF(N("Si OR dessous = vrai, pas de box")+OR(
N("1 OR Tron ou CELL")+OR(AND(ROW(E142)&gt;=39,ROW(E142)&lt;=68),AND(ROW(E142)&gt;=99,ROW(E142)&lt;=128)),
N("2 Pas de système scanopy and range opy")+AND(ROW(E142)&gt;=219,ROW(E142)&lt;=248,SCANOPY_N_System&lt;2),
N("3 Avec LC") + IF(AND(IF(PROD_MostPopularScanner="LC",1,0), NOT(AND(ROW(E142)&gt;=129,ROW(E142)&lt;=158)), NOT(AND(ROW(E142)&gt;=189,ROW(E142)&lt;=218))),1,0)
),"","☐ ")
&amp;
IF(N("If it's OPY, put OMount Manual instead")+
AND(ROW(D142)&gt;=219,ROW(D142)&lt;=248),
IF(SCANOPY_N_System&gt;1,
IF(SCANOPY_IndexScanner=1,"α" &amp; SCANOPY_CameraModel,SCANOPY_CameraModel_Mini) &amp; " Man",""),
IF(N("Empty si OR = true . . .If it is Cell or Tron, Do not Show Scanner related items + Hide if LC is favorite on unavailable product")+OR(
AND(ROW(E142)&gt;=39,ROW(E142)&lt;=68),
AND(ROW(E142)&gt;=99,ROW(E142)&lt;=128),
AND(IF(PROD_MostPopularScanner="LC",1,0), NOT(AND(ROW(E142)&gt;=129,ROW(E142)&lt;=158)), NOT(AND(ROW(E142)&gt;=189,ROW(E142)&lt;=218))),
0=1),
    "", IF(1=N("Si système a un scanner différent du Scanner populaire alors différent, sinon Scanner populaire")+AND(NOT(ISERROR(SEARCH("System",J141))),LEFT(J141,2)&lt;&gt;LEFT(PROD_MostPopularScanner,2)),
LEFT(J141,SEARCH("00",J141)-3),
PROD_MostPopularScanner) &amp; " Install Man"))</f>
        <v>☐ Scan. Install Man</v>
      </c>
      <c r="K142" s="378" t="str">
        <f>IF(N("If it is Cell or Tron or OPY, Do not Show Twain")+OR(AND(ROW(K142)&gt;=39,ROW(K142)&lt;=68),AND(ROW(K142)&gt;=99,ROW(K142)&lt;=128),AND(ROW(J142)&gt;=219,ROW(J142)&lt;=248)),"","☐ TWAIN")</f>
        <v>☐ TWAIN</v>
      </c>
      <c r="L142" s="379" t="str">
        <f>IF(AND(IF(PROD_MostPopularScanner="LC",1,0), NOT(AND(ROW(E142)&gt;=129,ROW(E142)&lt;=158)), NOT(AND(ROW(E142)&gt;=189,ROW(E142)&lt;=218))),"",
IF(N("Si OR dessous = vrai, pas de box")+OR(
N("1 OR Dendro+CELL, Tron+Folia,Cam")+OR(
AND(ROW(K142)&gt;=9,ROW(K142)&lt;=68),
AND(ROW(K142)&gt;=99,ROW(K142)&lt;=158),
AND(ROW(K142)&gt;=189,ROW(K142)&lt;=218)),
N("2 Pas de système scanopy and range opy")+AND(ROW(K142)&gt;=219,ROW(K142)&lt;=248,SCANOPY_N_System&lt;2),
N("3 Avec LC")&amp;IF(ISERROR(LEFT(J141,SEARCH("00",J141)-3)),"",LEFT(J141,SEARCH("00",J141)-3))="LC"),"","☐ ")
&amp;
IF(N("If it's OPY, put OMount Manual instead")+
AND(ROW(J142)&gt;=219,ROW(J142)&lt;=248),
IF(SCANOPY_N_System&gt;1,"OMount Man",""),
IF(N("If it is Dendro+CELL, Tron+Folia or Cam, Do not Show Scanner related items+No Video if LC")+OR(
AND(ROW(K142)&gt;=9,ROW(K142)&lt;=68),
AND(ROW(K142)&gt;=99,ROW(K142)&lt;=158),
AND(ROW(K142)&gt;=189,ROW(K142)&lt;=218),
IF(ISERROR(LEFT(J141,SEARCH("00",J141)-3)),"",LEFT(J141,SEARCH("00",J141)-3))="LC"),
    "", "Video " &amp; IF(1=N("Si système a un scanner différent du Scanner populaire alors différent, sinon Scanner populaire")+AND(NOT(ISERROR(SEARCH("System",J141))),LEFT(J141,2)&lt;&gt;LEFT(PROD_MostPopularScanner,2)),
LEFT(J141,SEARCH("00",J141)-3),
PROD_MostPopularScanner) &amp; " Install"))
)</f>
        <v/>
      </c>
      <c r="M142" s="378" t="str">
        <f>IF(N("If it is Dendro or Tron, Do not Show Color Analysis Video")+
OR(AND(ROW(L142)&gt;=9,ROW(L142)&lt;=38),
AND(ROW(L142)&gt;=99,ROW(L142)&lt;=128)), "","☐ Video ClrAna")</f>
        <v>☐ Video ClrAna</v>
      </c>
      <c r="N142" s="379" t="str">
        <f>IF(OR(INT((ROW(D142)-10)/30)+1=2,INT((ROW(D142)-10)/30)+1=4),"","☐ ")&amp;
IF(INT((ROW(D142)-10)/30)+1=1,"Scanner.cal","")&amp;
IF(INT((ROW(D142)-10)/30)+1=2,"","")&amp;
IF(INT((ROW(D142)-10)/30)+1=3,"Scanner.cal","")&amp;
IF(INT((ROW(D142)-10)/30)+1=4,"","")&amp;
IF(INT((ROW(D142)-10)/30)+1=5,"Scanner.cal","")&amp;
IF(INT((ROW(D142)-10)/30)+1=6,"Scanner.cal","")&amp;
IF(INT((ROW(D142)-10)/30)+1=7,"Scanner.cal","")&amp;
IF(INT((ROW(D142)-10)/30)+1=8,"Indiv" &amp; " Lens.cal","")</f>
        <v>☐ Scanner.cal</v>
      </c>
      <c r="O142" s="307" t="str">
        <f>IF(AND(ROW(L142)&gt;=9,ROW(L142)&lt;=38),"☐ RegentTarget.blu","")</f>
        <v/>
      </c>
      <c r="P142" s="215"/>
      <c r="Q142" s="215"/>
    </row>
    <row r="143" spans="1:17" ht="24" customHeight="1" x14ac:dyDescent="0.2">
      <c r="A143" s="431" t="s">
        <v>259</v>
      </c>
      <c r="B143" s="224" t="s">
        <v>259</v>
      </c>
      <c r="C143" s="307" t="s">
        <v>152</v>
      </c>
      <c r="D143" s="307" t="str">
        <f xml:space="preserve"> IF(N("If it is Cam, Do not Show XL")+AND(ROW(D143)&gt;=189,ROW(D143)&lt;=218),"","☐ XL Man")</f>
        <v>☐ XL Man</v>
      </c>
      <c r="E143" s="437" t="str">
        <f>IF(N("Si OR dessous = vrai, pas de box")+OR(
N("1 OR Tron ou CELL")+OR(AND(ROW(K142)&gt;=39,ROW(K142)&lt;=68),AND(ROW(K142)&gt;=99,ROW(K142)&lt;=128)),
N("2 Pas de système scanopy and range opy")+AND(ROW(K142)&gt;=219,ROW(K142)&lt;=248,SCANOPY_N_System&lt;2),
N("3 Avec LC")&amp;IF(ISERROR(LEFT(J141,SEARCH("00",J141)-3)),"",LEFT(J141,SEARCH("00",J141)-3))="LC"),"","☐ ")
&amp;
IF(N("If it's OPY, put OMount Manual instead")+
AND(ROW(J142)&gt;=219,ROW(J142)&lt;=248),
IF(SCANOPY_N_System&gt;1,"OMount Man",""),
IF(N("If it is Cell or Tron, Do not Show Scanner related items")+OR(
AND(ROW(K142)&gt;=39,ROW(K142)&lt;=68),
AND(ROW(K142)&gt;=99,ROW(K142)&lt;=128)),
    "", IF(1=N("Si système a un scanner différent du Scanner populaire alors différent, sinon Scanner populaire")+AND(NOT(ISERROR(SEARCH("System",J141))),LEFT(J141,2)&lt;&gt;LEFT(PROD_MostPopularScanner,2)),
LEFT(J141,SEARCH("00",J141)-3),
PROD_MostPopularScanner) &amp; " Install Man"))</f>
        <v>☐ Scan. Install Man</v>
      </c>
      <c r="F143" s="380" t="s">
        <v>275</v>
      </c>
      <c r="G143" s="307" t="s">
        <v>274</v>
      </c>
      <c r="H143" s="439" t="s">
        <v>250</v>
      </c>
      <c r="I143" s="381"/>
      <c r="J143" s="307" t="str">
        <f ca="1">IF(AND(
INDIRECT(
IF(INT((ROW(D143)-10)/30)+1=1,"DENDRO","")&amp;
IF(INT((ROW(D143)-10)/30)+1=2,"CELL","")&amp;
IF(INT((ROW(D143)-10)/30)+1=3,"RHIZO","")&amp;
IF(INT((ROW(D143)-10)/30)+1=4,"RHIZOTRON","")&amp;
IF(INT((ROW(D143)-10)/30)+1=5,"FOLIA","")&amp;
IF(INT((ROW(D143)-10)/30)+1=6,"SEEDLE","")&amp;
IF(INT((ROW(D143)-10)/30)+1=7,"CAM","")&amp;
IF(INT((ROW(D143)-10)/30)+1=8,"SCANOPY","") &amp; "_ChkB_RemoteUpdate"),
INDIRECT(
IF(INT((ROW(D143)-10)/30)+1=1,"DENDRO","")&amp;
IF(INT((ROW(D143)-10)/30)+1=2,"CELL","")&amp;
IF(INT((ROW(D143)-10)/30)+1=3,"RHIZO","")&amp;
IF(INT((ROW(D143)-10)/30)+1=4,"RHIZOTRON","")&amp;
IF(INT((ROW(D143)-10)/30)+1=5,"FOLIA","")&amp;
IF(INT((ROW(D143)-10)/30)+1=6,"SEEDLE","")&amp;
IF(INT((ROW(D143)-10)/30)+1=7,"CAM","")&amp;
IF(INT((ROW(D143)-10)/30)+1=8,"SCANOPY","") &amp; "_ChkBox_UpgradeUpdate")),
"Clé de bois ou Download. Reprogrammation clé client",
"☐ " &amp; IF(AND(QUOTE_Split_SoftwareHardware,QUOTE_InternetDownload),"Man ds env. ""Documents"", Clé ds bulle collée sur env.","Reliée au Man"))</f>
        <v>☐ Reliée au Man</v>
      </c>
      <c r="K143" s="265"/>
      <c r="L143" s="223"/>
      <c r="M143" s="439"/>
      <c r="N143" s="380"/>
      <c r="O143" s="307"/>
      <c r="P143" s="215"/>
      <c r="Q143" s="215"/>
    </row>
    <row r="144" spans="1:17" ht="16.25" customHeight="1" x14ac:dyDescent="0.2">
      <c r="A144" s="419"/>
      <c r="B144" s="294"/>
      <c r="C144" s="887" t="str">
        <f>IF((FOLIA_N_UpgradeUpdate + FOLIA_N_Software ) = 2,"",LEFT(INDEX(FOLIA_SoftwareFullNames,FOLIA_IndexSoftware),FIND(" ",INDEX(FOLIA_SoftwareFullNames,FOLIA_IndexSoftware),FIND(" ",INDEX(FOLIA_SoftwareFullNames,FOLIA_IndexSoftware))+1)) &amp;
FOLIA_YearMostRecent )</f>
        <v/>
      </c>
      <c r="D144" s="887"/>
      <c r="E144" s="302"/>
      <c r="F144" s="302"/>
      <c r="G144" s="273" t="str">
        <f>IF(FOLIA_OptionXL*(FOLIA_N_Software+FOLIA_N_UpgradeUpdate-2)&gt;=((ROW(G144)-ROW($G$129))/4+1),"XLFOLIA "&amp; FOLIA_YearMostRecent,"")</f>
        <v/>
      </c>
      <c r="H144" s="257"/>
      <c r="I144" s="257"/>
      <c r="J144" s="273" t="str">
        <f>IF(FOLIA_N_System-1&gt;=((ROW(G144)-ROW($G$129))/4+1),IF(FOLIA_IndexScanner=1,"STD4800",IF(FOLIA_IndexScanner=2,"LA2400","LC4800P")) &amp; " System"&amp; IF(AND(FOLIA_ClientWithOrWithoutScanner=2,FOLIA_N_System&gt;1)," Sans Scanner"," Avec Scanner"),
IF(AND(FOLIA_N_Software&gt;FOLIA_N_System,FOLIA_N_Software-1&gt;=((ROW(G144)-ROW($G$129))/4+1)),IF(N_SystemTotal=0,"Software Only",IF(N_STDScanners+N_LAScanners+N_LCScanners=0,"Software Sans Scanner","Software Avec Scanner")),
IF(FOLIA_N_UpgradeUpdate-1&gt;=((ROW(G144)-ROW($G$129))/4+1)-(MAX(FOLIA_N_System,FOLIA_N_Software)-1),"Update","")))</f>
        <v/>
      </c>
      <c r="K144" s="257"/>
      <c r="L144" s="256"/>
      <c r="M144" s="256"/>
      <c r="N144" s="256"/>
      <c r="O144" s="215"/>
      <c r="P144" s="215"/>
      <c r="Q144" s="215"/>
    </row>
    <row r="145" spans="1:17" ht="24" customHeight="1" x14ac:dyDescent="0.2">
      <c r="A145" s="431" t="s">
        <v>258</v>
      </c>
      <c r="B145" s="287" t="s">
        <v>258</v>
      </c>
      <c r="C145" s="378" t="str">
        <f>IF(AND(QUOTE_Split_SoftwareHardware,QUOTE_InternetDownload),"",
"☐☐ Win" &amp;
IF(INT((ROW(D145)-10)/30)+1=1,"DEN","")&amp;
IF(INT((ROW(D145)-10)/30)+1=2,"CEL","")&amp;
IF(INT((ROW(D145)-10)/30)+1=3,"RHI","")&amp;
IF(INT((ROW(D145)-10)/30)+1=4,"RT","")&amp;
IF(INT((ROW(D145)-10)/30)+1=5,"FOL","")&amp;
IF(INT((ROW(D145)-10)/30)+1=6,"SEE","")&amp;
IF(INT((ROW(D145)-10)/30)+1=7,"CAM","")&amp;
IF(INT((ROW(D145)-10)/30)+1=8,"SCA","") &amp; ".exe")</f>
        <v>☐☐ WinFOL.exe</v>
      </c>
      <c r="D145" s="378" t="str">
        <f>IF(AND(QUOTE_Split_SoftwareHardware,QUOTE_InternetDownload),"",
 IF(N("If it is Cam, Do not Show XL")+AND(ROW(D145)&gt;=189,ROW(D145)&lt;=218),"","☐ XL" &amp;
IF(INT((ROW(D145)-10)/30)+1=1,"STEM","")&amp;
IF(INT((ROW(D145)-10)/30)+1=2,"Cell","")&amp;
IF(INT((ROW(D145)-10)/30)+1=3,"Rhizo","")&amp;
IF(INT((ROW(D145)-10)/30)+1=4,"RhizoT","")&amp;
IF(INT((ROW(D145)-10)/30)+1=5,"Folia","")&amp;
IF(INT((ROW(D145)-10)/30)+1=6,"Seedle","")&amp;
IF(INT((ROW(D145)-10)/30)+1=7,"Cam","")&amp;
IF(INT((ROW(D145)-10)/30)+1=8,"Scanopy","") &amp; ".xls"))</f>
        <v>☐ XLFolia.xls</v>
      </c>
      <c r="E145" s="378" t="s">
        <v>299</v>
      </c>
      <c r="F145" s="379" t="s">
        <v>152</v>
      </c>
      <c r="G145" s="378" t="str">
        <f xml:space="preserve"> IF(N("If it is Cam, Do not Show XL")+AND(ROW(G145)&gt;=189,ROW(G145)&lt;=218),"","☐ XL Man")</f>
        <v>☐ XL Man</v>
      </c>
      <c r="H145" s="379" t="s">
        <v>280</v>
      </c>
      <c r="I145" s="307" t="s">
        <v>274</v>
      </c>
      <c r="J145" s="379" t="str">
        <f>IF(N("Si OR dessous = vrai, pas de box")+OR(
N("1 OR Tron ou CELL")+OR(AND(ROW(E145)&gt;=39,ROW(E145)&lt;=68),AND(ROW(E145)&gt;=99,ROW(E145)&lt;=128)),
N("2 Pas de système scanopy and range opy")+AND(ROW(E145)&gt;=219,ROW(E145)&lt;=248,SCANOPY_N_System&lt;2),
N("3 Avec LC") + IF(AND(IF(PROD_MostPopularScanner="LC",1,0), NOT(AND(ROW(E145)&gt;=129,ROW(E145)&lt;=158)), NOT(AND(ROW(E145)&gt;=189,ROW(E145)&lt;=218))),1,0)
),"","☐ ")
&amp;
IF(N("If it's OPY, put OMount Manual instead")+
AND(ROW(D145)&gt;=219,ROW(D145)&lt;=248),
IF(SCANOPY_N_System&gt;1,
IF(SCANOPY_IndexScanner=1,"α" &amp; SCANOPY_CameraModel,SCANOPY_CameraModel_Mini) &amp; " Man",""),
IF(N("Empty si OR = true . . .If it is Cell or Tron, Do not Show Scanner related items + Hide if LC is favorite on unavailable product")+OR(
AND(ROW(E145)&gt;=39,ROW(E145)&lt;=68),
AND(ROW(E145)&gt;=99,ROW(E145)&lt;=128),
AND(IF(PROD_MostPopularScanner="LC",1,0), NOT(AND(ROW(E145)&gt;=129,ROW(E145)&lt;=158)), NOT(AND(ROW(E145)&gt;=189,ROW(E145)&lt;=218))),
0=1),
    "", IF(1=N("Si système a un scanner différent du Scanner populaire alors différent, sinon Scanner populaire")+AND(NOT(ISERROR(SEARCH("System",J144))),LEFT(J144,2)&lt;&gt;LEFT(PROD_MostPopularScanner,2)),
LEFT(J144,SEARCH("00",J144)-3),
PROD_MostPopularScanner) &amp; " Install Man"))</f>
        <v>☐ Scan. Install Man</v>
      </c>
      <c r="K145" s="378" t="str">
        <f>IF(N("If it is Cell or Tron or OPY, Do not Show Twain")+OR(AND(ROW(K145)&gt;=39,ROW(K145)&lt;=68),AND(ROW(K145)&gt;=99,ROW(K145)&lt;=128),AND(ROW(J145)&gt;=219,ROW(J145)&lt;=248)),"","☐ TWAIN")</f>
        <v>☐ TWAIN</v>
      </c>
      <c r="L145" s="379" t="str">
        <f>IF(AND(IF(PROD_MostPopularScanner="LC",1,0), NOT(AND(ROW(E145)&gt;=129,ROW(E145)&lt;=158)), NOT(AND(ROW(E145)&gt;=189,ROW(E145)&lt;=218))),"",
IF(N("Si OR dessous = vrai, pas de box")+OR(
N("1 OR Dendro+CELL, Tron+Folia,Cam")+OR(
AND(ROW(K145)&gt;=9,ROW(K145)&lt;=68),
AND(ROW(K145)&gt;=99,ROW(K145)&lt;=158),
AND(ROW(K145)&gt;=189,ROW(K145)&lt;=218)),
N("2 Pas de système scanopy and range opy")+AND(ROW(K145)&gt;=219,ROW(K145)&lt;=248,SCANOPY_N_System&lt;2),
N("3 Avec LC")&amp;IF(ISERROR(LEFT(J144,SEARCH("00",J144)-3)),"",LEFT(J144,SEARCH("00",J144)-3))="LC"),"","☐ ")
&amp;
IF(N("If it's OPY, put OMount Manual instead")+
AND(ROW(J145)&gt;=219,ROW(J145)&lt;=248),
IF(SCANOPY_N_System&gt;1,"OMount Man",""),
IF(N("If it is Dendro+CELL, Tron+Folia or Cam, Do not Show Scanner related items+No Video if LC")+OR(
AND(ROW(K145)&gt;=9,ROW(K145)&lt;=68),
AND(ROW(K145)&gt;=99,ROW(K145)&lt;=158),
AND(ROW(K145)&gt;=189,ROW(K145)&lt;=218),
IF(ISERROR(LEFT(J144,SEARCH("00",J144)-3)),"",LEFT(J144,SEARCH("00",J144)-3))="LC"),
    "", "Video " &amp; IF(1=N("Si système a un scanner différent du Scanner populaire alors différent, sinon Scanner populaire")+AND(NOT(ISERROR(SEARCH("System",J144))),LEFT(J144,2)&lt;&gt;LEFT(PROD_MostPopularScanner,2)),
LEFT(J144,SEARCH("00",J144)-3),
PROD_MostPopularScanner) &amp; " Install"))
)</f>
        <v/>
      </c>
      <c r="M145" s="378" t="str">
        <f>IF(N("If it is Dendro or Tron, Do not Show Color Analysis Video")+
OR(AND(ROW(L145)&gt;=9,ROW(L145)&lt;=38),
AND(ROW(L145)&gt;=99,ROW(L145)&lt;=128)), "","☐ Video ClrAna")</f>
        <v>☐ Video ClrAna</v>
      </c>
      <c r="N145" s="379" t="str">
        <f>IF(OR(INT((ROW(D145)-10)/30)+1=2,INT((ROW(D145)-10)/30)+1=4),"","☐ ")&amp;
IF(INT((ROW(D145)-10)/30)+1=1,"Scanner.cal","")&amp;
IF(INT((ROW(D145)-10)/30)+1=2,"","")&amp;
IF(INT((ROW(D145)-10)/30)+1=3,"Scanner.cal","")&amp;
IF(INT((ROW(D145)-10)/30)+1=4,"","")&amp;
IF(INT((ROW(D145)-10)/30)+1=5,"Scanner.cal","")&amp;
IF(INT((ROW(D145)-10)/30)+1=6,"Scanner.cal","")&amp;
IF(INT((ROW(D145)-10)/30)+1=7,"Scanner.cal","")&amp;
IF(INT((ROW(D145)-10)/30)+1=8,"Indiv" &amp; " Lens.cal","")</f>
        <v>☐ Scanner.cal</v>
      </c>
      <c r="O145" s="307" t="str">
        <f>IF(AND(ROW(L145)&gt;=9,ROW(L145)&lt;=38),"☐ RegentTarget.blu","")</f>
        <v/>
      </c>
      <c r="P145" s="215"/>
      <c r="Q145" s="215"/>
    </row>
    <row r="146" spans="1:17" ht="24" customHeight="1" x14ac:dyDescent="0.2">
      <c r="A146" s="431" t="s">
        <v>259</v>
      </c>
      <c r="B146" s="224" t="s">
        <v>259</v>
      </c>
      <c r="C146" s="307" t="s">
        <v>152</v>
      </c>
      <c r="D146" s="307" t="str">
        <f xml:space="preserve"> IF(N("If it is Cam, Do not Show XL")+AND(ROW(D146)&gt;=189,ROW(D146)&lt;=218),"","☐ XL Man")</f>
        <v>☐ XL Man</v>
      </c>
      <c r="E146" s="437" t="str">
        <f>IF(N("Si OR dessous = vrai, pas de box")+OR(
N("1 OR Tron ou CELL")+OR(AND(ROW(K145)&gt;=39,ROW(K145)&lt;=68),AND(ROW(K145)&gt;=99,ROW(K145)&lt;=128)),
N("2 Pas de système scanopy and range opy")+AND(ROW(K145)&gt;=219,ROW(K145)&lt;=248,SCANOPY_N_System&lt;2),
N("3 Avec LC")&amp;IF(ISERROR(LEFT(J144,SEARCH("00",J144)-3)),"",LEFT(J144,SEARCH("00",J144)-3))="LC"),"","☐ ")
&amp;
IF(N("If it's OPY, put OMount Manual instead")+
AND(ROW(J145)&gt;=219,ROW(J145)&lt;=248),
IF(SCANOPY_N_System&gt;1,"OMount Man",""),
IF(N("If it is Cell or Tron, Do not Show Scanner related items")+OR(
AND(ROW(K145)&gt;=39,ROW(K145)&lt;=68),
AND(ROW(K145)&gt;=99,ROW(K145)&lt;=128)),
    "", IF(1=N("Si système a un scanner différent du Scanner populaire alors différent, sinon Scanner populaire")+AND(NOT(ISERROR(SEARCH("System",J144))),LEFT(J144,2)&lt;&gt;LEFT(PROD_MostPopularScanner,2)),
LEFT(J144,SEARCH("00",J144)-3),
PROD_MostPopularScanner) &amp; " Install Man"))</f>
        <v>☐ Scan. Install Man</v>
      </c>
      <c r="F146" s="380" t="s">
        <v>275</v>
      </c>
      <c r="G146" s="307" t="s">
        <v>274</v>
      </c>
      <c r="H146" s="439" t="s">
        <v>250</v>
      </c>
      <c r="I146" s="381"/>
      <c r="J146" s="307" t="str">
        <f ca="1">IF(AND(
INDIRECT(
IF(INT((ROW(D146)-10)/30)+1=1,"DENDRO","")&amp;
IF(INT((ROW(D146)-10)/30)+1=2,"CELL","")&amp;
IF(INT((ROW(D146)-10)/30)+1=3,"RHIZO","")&amp;
IF(INT((ROW(D146)-10)/30)+1=4,"RHIZOTRON","")&amp;
IF(INT((ROW(D146)-10)/30)+1=5,"FOLIA","")&amp;
IF(INT((ROW(D146)-10)/30)+1=6,"SEEDLE","")&amp;
IF(INT((ROW(D146)-10)/30)+1=7,"CAM","")&amp;
IF(INT((ROW(D146)-10)/30)+1=8,"SCANOPY","") &amp; "_ChkB_RemoteUpdate"),
INDIRECT(
IF(INT((ROW(D146)-10)/30)+1=1,"DENDRO","")&amp;
IF(INT((ROW(D146)-10)/30)+1=2,"CELL","")&amp;
IF(INT((ROW(D146)-10)/30)+1=3,"RHIZO","")&amp;
IF(INT((ROW(D146)-10)/30)+1=4,"RHIZOTRON","")&amp;
IF(INT((ROW(D146)-10)/30)+1=5,"FOLIA","")&amp;
IF(INT((ROW(D146)-10)/30)+1=6,"SEEDLE","")&amp;
IF(INT((ROW(D146)-10)/30)+1=7,"CAM","")&amp;
IF(INT((ROW(D146)-10)/30)+1=8,"SCANOPY","") &amp; "_ChkBox_UpgradeUpdate")),
"Clé de bois ou Download. Reprogrammation clé client",
"☐ " &amp; IF(AND(QUOTE_Split_SoftwareHardware,QUOTE_InternetDownload),"Man ds env. ""Documents"", Clé ds bulle collée sur env.","Reliée au Man"))</f>
        <v>☐ Reliée au Man</v>
      </c>
      <c r="K146" s="265"/>
      <c r="L146" s="223"/>
      <c r="M146" s="439"/>
      <c r="N146" s="380"/>
      <c r="O146" s="307"/>
      <c r="P146" s="215"/>
      <c r="Q146" s="215"/>
    </row>
    <row r="147" spans="1:17" ht="16.25" customHeight="1" x14ac:dyDescent="0.2">
      <c r="A147" s="419"/>
      <c r="B147" s="294"/>
      <c r="C147" s="887" t="str">
        <f>IF((FOLIA_N_UpgradeUpdate + FOLIA_N_Software ) = 2,"",LEFT(INDEX(FOLIA_SoftwareFullNames,FOLIA_IndexSoftware),FIND(" ",INDEX(FOLIA_SoftwareFullNames,FOLIA_IndexSoftware),FIND(" ",INDEX(FOLIA_SoftwareFullNames,FOLIA_IndexSoftware))+1)) &amp;
FOLIA_YearMostRecent )</f>
        <v/>
      </c>
      <c r="D147" s="887"/>
      <c r="E147" s="302"/>
      <c r="F147" s="302"/>
      <c r="G147" s="273" t="str">
        <f>IF(FOLIA_OptionXL*(FOLIA_N_Software+FOLIA_N_UpgradeUpdate-2)&gt;=((ROW(G147)-ROW($G$129))/4+1),"XLFOLIA "&amp; FOLIA_YearMostRecent,"")</f>
        <v/>
      </c>
      <c r="H147" s="257"/>
      <c r="I147" s="257"/>
      <c r="J147" s="273" t="str">
        <f>IF(FOLIA_N_System-1&gt;=((ROW(G147)-ROW($G$129))/4+1),IF(FOLIA_IndexScanner=1,"STD4800",IF(FOLIA_IndexScanner=2,"LA2400","LC4800P")) &amp; " System"&amp; IF(AND(FOLIA_ClientWithOrWithoutScanner=2,FOLIA_N_System&gt;1)," Sans Scanner"," Avec Scanner"),
IF(AND(FOLIA_N_Software&gt;FOLIA_N_System,FOLIA_N_Software-1&gt;=((ROW(G147)-ROW($G$129))/4+1)),IF(N_SystemTotal=0,"Software Only",IF(N_STDScanners+N_LAScanners+N_LCScanners=0,"Software Sans Scanner","Software Avec Scanner")),
IF(FOLIA_N_UpgradeUpdate-1&gt;=((ROW(G147)-ROW($G$129))/4+1)-(MAX(FOLIA_N_System,FOLIA_N_Software)-1),"Update","")))</f>
        <v/>
      </c>
      <c r="K147" s="257"/>
      <c r="L147" s="256"/>
      <c r="M147" s="256"/>
      <c r="N147" s="256"/>
      <c r="O147" s="215"/>
      <c r="P147" s="215"/>
      <c r="Q147" s="215"/>
    </row>
    <row r="148" spans="1:17" ht="24" customHeight="1" x14ac:dyDescent="0.2">
      <c r="A148" s="431" t="s">
        <v>258</v>
      </c>
      <c r="B148" s="287" t="s">
        <v>258</v>
      </c>
      <c r="C148" s="378" t="str">
        <f>IF(AND(QUOTE_Split_SoftwareHardware,QUOTE_InternetDownload),"",
"☐☐ Win" &amp;
IF(INT((ROW(D148)-10)/30)+1=1,"DEN","")&amp;
IF(INT((ROW(D148)-10)/30)+1=2,"CEL","")&amp;
IF(INT((ROW(D148)-10)/30)+1=3,"RHI","")&amp;
IF(INT((ROW(D148)-10)/30)+1=4,"RT","")&amp;
IF(INT((ROW(D148)-10)/30)+1=5,"FOL","")&amp;
IF(INT((ROW(D148)-10)/30)+1=6,"SEE","")&amp;
IF(INT((ROW(D148)-10)/30)+1=7,"CAM","")&amp;
IF(INT((ROW(D148)-10)/30)+1=8,"SCA","") &amp; ".exe")</f>
        <v>☐☐ WinFOL.exe</v>
      </c>
      <c r="D148" s="378" t="str">
        <f>IF(AND(QUOTE_Split_SoftwareHardware,QUOTE_InternetDownload),"",
 IF(N("If it is Cam, Do not Show XL")+AND(ROW(D148)&gt;=189,ROW(D148)&lt;=218),"","☐ XL" &amp;
IF(INT((ROW(D148)-10)/30)+1=1,"STEM","")&amp;
IF(INT((ROW(D148)-10)/30)+1=2,"Cell","")&amp;
IF(INT((ROW(D148)-10)/30)+1=3,"Rhizo","")&amp;
IF(INT((ROW(D148)-10)/30)+1=4,"RhizoT","")&amp;
IF(INT((ROW(D148)-10)/30)+1=5,"Folia","")&amp;
IF(INT((ROW(D148)-10)/30)+1=6,"Seedle","")&amp;
IF(INT((ROW(D148)-10)/30)+1=7,"Cam","")&amp;
IF(INT((ROW(D148)-10)/30)+1=8,"Scanopy","") &amp; ".xls"))</f>
        <v>☐ XLFolia.xls</v>
      </c>
      <c r="E148" s="378" t="s">
        <v>299</v>
      </c>
      <c r="F148" s="379" t="s">
        <v>152</v>
      </c>
      <c r="G148" s="378" t="str">
        <f xml:space="preserve"> IF(N("If it is Cam, Do not Show XL")+AND(ROW(G148)&gt;=189,ROW(G148)&lt;=218),"","☐ XL Man")</f>
        <v>☐ XL Man</v>
      </c>
      <c r="H148" s="379" t="s">
        <v>280</v>
      </c>
      <c r="I148" s="307" t="s">
        <v>274</v>
      </c>
      <c r="J148" s="379" t="str">
        <f>IF(N("Si OR dessous = vrai, pas de box")+OR(
N("1 OR Tron ou CELL")+OR(AND(ROW(E148)&gt;=39,ROW(E148)&lt;=68),AND(ROW(E148)&gt;=99,ROW(E148)&lt;=128)),
N("2 Pas de système scanopy and range opy")+AND(ROW(E148)&gt;=219,ROW(E148)&lt;=248,SCANOPY_N_System&lt;2),
N("3 Avec LC") + IF(AND(IF(PROD_MostPopularScanner="LC",1,0), NOT(AND(ROW(E148)&gt;=129,ROW(E148)&lt;=158)), NOT(AND(ROW(E148)&gt;=189,ROW(E148)&lt;=218))),1,0)
),"","☐ ")
&amp;
IF(N("If it's OPY, put OMount Manual instead")+
AND(ROW(D148)&gt;=219,ROW(D148)&lt;=248),
IF(SCANOPY_N_System&gt;1,
IF(SCANOPY_IndexScanner=1,"α" &amp; SCANOPY_CameraModel,SCANOPY_CameraModel_Mini) &amp; " Man",""),
IF(N("Empty si OR = true . . .If it is Cell or Tron, Do not Show Scanner related items + Hide if LC is favorite on unavailable product")+OR(
AND(ROW(E148)&gt;=39,ROW(E148)&lt;=68),
AND(ROW(E148)&gt;=99,ROW(E148)&lt;=128),
AND(IF(PROD_MostPopularScanner="LC",1,0), NOT(AND(ROW(E148)&gt;=129,ROW(E148)&lt;=158)), NOT(AND(ROW(E148)&gt;=189,ROW(E148)&lt;=218))),
0=1),
    "", IF(1=N("Si système a un scanner différent du Scanner populaire alors différent, sinon Scanner populaire")+AND(NOT(ISERROR(SEARCH("System",J147))),LEFT(J147,2)&lt;&gt;LEFT(PROD_MostPopularScanner,2)),
LEFT(J147,SEARCH("00",J147)-3),
PROD_MostPopularScanner) &amp; " Install Man"))</f>
        <v>☐ Scan. Install Man</v>
      </c>
      <c r="K148" s="378" t="str">
        <f>IF(N("If it is Cell or Tron or OPY, Do not Show Twain")+OR(AND(ROW(K148)&gt;=39,ROW(K148)&lt;=68),AND(ROW(K148)&gt;=99,ROW(K148)&lt;=128),AND(ROW(J148)&gt;=219,ROW(J148)&lt;=248)),"","☐ TWAIN")</f>
        <v>☐ TWAIN</v>
      </c>
      <c r="L148" s="379" t="str">
        <f>IF(AND(IF(PROD_MostPopularScanner="LC",1,0), NOT(AND(ROW(E148)&gt;=129,ROW(E148)&lt;=158)), NOT(AND(ROW(E148)&gt;=189,ROW(E148)&lt;=218))),"",
IF(N("Si OR dessous = vrai, pas de box")+OR(
N("1 OR Dendro+CELL, Tron+Folia,Cam")+OR(
AND(ROW(K148)&gt;=9,ROW(K148)&lt;=68),
AND(ROW(K148)&gt;=99,ROW(K148)&lt;=158),
AND(ROW(K148)&gt;=189,ROW(K148)&lt;=218)),
N("2 Pas de système scanopy and range opy")+AND(ROW(K148)&gt;=219,ROW(K148)&lt;=248,SCANOPY_N_System&lt;2),
N("3 Avec LC")&amp;IF(ISERROR(LEFT(J147,SEARCH("00",J147)-3)),"",LEFT(J147,SEARCH("00",J147)-3))="LC"),"","☐ ")
&amp;
IF(N("If it's OPY, put OMount Manual instead")+
AND(ROW(J148)&gt;=219,ROW(J148)&lt;=248),
IF(SCANOPY_N_System&gt;1,"OMount Man",""),
IF(N("If it is Dendro+CELL, Tron+Folia or Cam, Do not Show Scanner related items+No Video if LC")+OR(
AND(ROW(K148)&gt;=9,ROW(K148)&lt;=68),
AND(ROW(K148)&gt;=99,ROW(K148)&lt;=158),
AND(ROW(K148)&gt;=189,ROW(K148)&lt;=218),
IF(ISERROR(LEFT(J147,SEARCH("00",J147)-3)),"",LEFT(J147,SEARCH("00",J147)-3))="LC"),
    "", "Video " &amp; IF(1=N("Si système a un scanner différent du Scanner populaire alors différent, sinon Scanner populaire")+AND(NOT(ISERROR(SEARCH("System",J147))),LEFT(J147,2)&lt;&gt;LEFT(PROD_MostPopularScanner,2)),
LEFT(J147,SEARCH("00",J147)-3),
PROD_MostPopularScanner) &amp; " Install"))
)</f>
        <v/>
      </c>
      <c r="M148" s="378" t="str">
        <f>IF(N("If it is Dendro or Tron, Do not Show Color Analysis Video")+
OR(AND(ROW(L148)&gt;=9,ROW(L148)&lt;=38),
AND(ROW(L148)&gt;=99,ROW(L148)&lt;=128)), "","☐ Video ClrAna")</f>
        <v>☐ Video ClrAna</v>
      </c>
      <c r="N148" s="379" t="str">
        <f>IF(OR(INT((ROW(D148)-10)/30)+1=2,INT((ROW(D148)-10)/30)+1=4),"","☐ ")&amp;
IF(INT((ROW(D148)-10)/30)+1=1,"Scanner.cal","")&amp;
IF(INT((ROW(D148)-10)/30)+1=2,"","")&amp;
IF(INT((ROW(D148)-10)/30)+1=3,"Scanner.cal","")&amp;
IF(INT((ROW(D148)-10)/30)+1=4,"","")&amp;
IF(INT((ROW(D148)-10)/30)+1=5,"Scanner.cal","")&amp;
IF(INT((ROW(D148)-10)/30)+1=6,"Scanner.cal","")&amp;
IF(INT((ROW(D148)-10)/30)+1=7,"Scanner.cal","")&amp;
IF(INT((ROW(D148)-10)/30)+1=8,"Indiv" &amp; " Lens.cal","")</f>
        <v>☐ Scanner.cal</v>
      </c>
      <c r="O148" s="307" t="str">
        <f>IF(AND(ROW(L148)&gt;=9,ROW(L148)&lt;=38),"☐ RegentTarget.blu","")</f>
        <v/>
      </c>
      <c r="P148" s="215"/>
      <c r="Q148" s="215"/>
    </row>
    <row r="149" spans="1:17" ht="24" customHeight="1" x14ac:dyDescent="0.2">
      <c r="A149" s="431" t="s">
        <v>259</v>
      </c>
      <c r="B149" s="224" t="s">
        <v>259</v>
      </c>
      <c r="C149" s="307" t="s">
        <v>152</v>
      </c>
      <c r="D149" s="307" t="str">
        <f xml:space="preserve"> IF(N("If it is Cam, Do not Show XL")+AND(ROW(D149)&gt;=189,ROW(D149)&lt;=218),"","☐ XL Man")</f>
        <v>☐ XL Man</v>
      </c>
      <c r="E149" s="437" t="str">
        <f>IF(N("Si OR dessous = vrai, pas de box")+OR(
N("1 OR Tron ou CELL")+OR(AND(ROW(K148)&gt;=39,ROW(K148)&lt;=68),AND(ROW(K148)&gt;=99,ROW(K148)&lt;=128)),
N("2 Pas de système scanopy and range opy")+AND(ROW(K148)&gt;=219,ROW(K148)&lt;=248,SCANOPY_N_System&lt;2),
N("3 Avec LC")&amp;IF(ISERROR(LEFT(J147,SEARCH("00",J147)-3)),"",LEFT(J147,SEARCH("00",J147)-3))="LC"),"","☐ ")
&amp;
IF(N("If it's OPY, put OMount Manual instead")+
AND(ROW(J148)&gt;=219,ROW(J148)&lt;=248),
IF(SCANOPY_N_System&gt;1,"OMount Man",""),
IF(N("If it is Cell or Tron, Do not Show Scanner related items")+OR(
AND(ROW(K148)&gt;=39,ROW(K148)&lt;=68),
AND(ROW(K148)&gt;=99,ROW(K148)&lt;=128)),
    "", IF(1=N("Si système a un scanner différent du Scanner populaire alors différent, sinon Scanner populaire")+AND(NOT(ISERROR(SEARCH("System",J147))),LEFT(J147,2)&lt;&gt;LEFT(PROD_MostPopularScanner,2)),
LEFT(J147,SEARCH("00",J147)-3),
PROD_MostPopularScanner) &amp; " Install Man"))</f>
        <v>☐ Scan. Install Man</v>
      </c>
      <c r="F149" s="380" t="s">
        <v>275</v>
      </c>
      <c r="G149" s="307" t="s">
        <v>274</v>
      </c>
      <c r="H149" s="439" t="s">
        <v>250</v>
      </c>
      <c r="I149" s="381"/>
      <c r="J149" s="307" t="str">
        <f ca="1">IF(AND(
INDIRECT(
IF(INT((ROW(D149)-10)/30)+1=1,"DENDRO","")&amp;
IF(INT((ROW(D149)-10)/30)+1=2,"CELL","")&amp;
IF(INT((ROW(D149)-10)/30)+1=3,"RHIZO","")&amp;
IF(INT((ROW(D149)-10)/30)+1=4,"RHIZOTRON","")&amp;
IF(INT((ROW(D149)-10)/30)+1=5,"FOLIA","")&amp;
IF(INT((ROW(D149)-10)/30)+1=6,"SEEDLE","")&amp;
IF(INT((ROW(D149)-10)/30)+1=7,"CAM","")&amp;
IF(INT((ROW(D149)-10)/30)+1=8,"SCANOPY","") &amp; "_ChkB_RemoteUpdate"),
INDIRECT(
IF(INT((ROW(D149)-10)/30)+1=1,"DENDRO","")&amp;
IF(INT((ROW(D149)-10)/30)+1=2,"CELL","")&amp;
IF(INT((ROW(D149)-10)/30)+1=3,"RHIZO","")&amp;
IF(INT((ROW(D149)-10)/30)+1=4,"RHIZOTRON","")&amp;
IF(INT((ROW(D149)-10)/30)+1=5,"FOLIA","")&amp;
IF(INT((ROW(D149)-10)/30)+1=6,"SEEDLE","")&amp;
IF(INT((ROW(D149)-10)/30)+1=7,"CAM","")&amp;
IF(INT((ROW(D149)-10)/30)+1=8,"SCANOPY","") &amp; "_ChkBox_UpgradeUpdate")),
"Clé de bois ou Download. Reprogrammation clé client",
"☐ " &amp; IF(AND(QUOTE_Split_SoftwareHardware,QUOTE_InternetDownload),"Man ds env. ""Documents"", Clé ds bulle collée sur env.","Reliée au Man"))</f>
        <v>☐ Reliée au Man</v>
      </c>
      <c r="K149" s="265"/>
      <c r="L149" s="223"/>
      <c r="M149" s="439"/>
      <c r="N149" s="380"/>
      <c r="O149" s="307"/>
      <c r="P149" s="215"/>
      <c r="Q149" s="215"/>
    </row>
    <row r="150" spans="1:17" ht="16.25" customHeight="1" x14ac:dyDescent="0.2">
      <c r="A150" s="419"/>
      <c r="B150" s="294"/>
      <c r="C150" s="887" t="str">
        <f>IF((FOLIA_N_UpgradeUpdate + FOLIA_N_Software ) = 2,"",LEFT(INDEX(FOLIA_SoftwareFullNames,FOLIA_IndexSoftware),FIND(" ",INDEX(FOLIA_SoftwareFullNames,FOLIA_IndexSoftware),FIND(" ",INDEX(FOLIA_SoftwareFullNames,FOLIA_IndexSoftware))+1)) &amp;
FOLIA_YearMostRecent )</f>
        <v/>
      </c>
      <c r="D150" s="887"/>
      <c r="E150" s="302"/>
      <c r="F150" s="302"/>
      <c r="G150" s="273" t="str">
        <f>IF(FOLIA_OptionXL*(FOLIA_N_Software+FOLIA_N_UpgradeUpdate-2)&gt;=((ROW(G150)-ROW($G$129))/4+1),"XLFOLIA "&amp; FOLIA_YearMostRecent,"")</f>
        <v/>
      </c>
      <c r="H150" s="257"/>
      <c r="I150" s="257"/>
      <c r="J150" s="273" t="str">
        <f>IF(FOLIA_N_System-1&gt;=((ROW(G150)-ROW($G$129))/4+1),IF(FOLIA_IndexScanner=1,"STD4800",IF(FOLIA_IndexScanner=2,"LA2400","LC4800P")) &amp; " System"&amp; IF(AND(FOLIA_ClientWithOrWithoutScanner=2,FOLIA_N_System&gt;1)," Sans Scanner"," Avec Scanner"),
IF(AND(FOLIA_N_Software&gt;FOLIA_N_System,FOLIA_N_Software-1&gt;=((ROW(G150)-ROW($G$129))/4+1)),IF(N_SystemTotal=0,"Software Only",IF(N_STDScanners+N_LAScanners+N_LCScanners=0,"Software Sans Scanner","Software Avec Scanner")),
IF(FOLIA_N_UpgradeUpdate-1&gt;=((ROW(G150)-ROW($G$129))/4+1)-(MAX(FOLIA_N_System,FOLIA_N_Software)-1),"Update","")))</f>
        <v/>
      </c>
      <c r="K150" s="257"/>
      <c r="L150" s="256"/>
      <c r="M150" s="256"/>
      <c r="N150" s="256"/>
      <c r="O150" s="215"/>
      <c r="P150" s="215"/>
      <c r="Q150" s="215"/>
    </row>
    <row r="151" spans="1:17" ht="24" customHeight="1" x14ac:dyDescent="0.2">
      <c r="A151" s="431" t="s">
        <v>258</v>
      </c>
      <c r="B151" s="287" t="s">
        <v>258</v>
      </c>
      <c r="C151" s="378" t="str">
        <f>IF(AND(QUOTE_Split_SoftwareHardware,QUOTE_InternetDownload),"",
"☐☐ Win" &amp;
IF(INT((ROW(D151)-10)/30)+1=1,"DEN","")&amp;
IF(INT((ROW(D151)-10)/30)+1=2,"CEL","")&amp;
IF(INT((ROW(D151)-10)/30)+1=3,"RHI","")&amp;
IF(INT((ROW(D151)-10)/30)+1=4,"RT","")&amp;
IF(INT((ROW(D151)-10)/30)+1=5,"FOL","")&amp;
IF(INT((ROW(D151)-10)/30)+1=6,"SEE","")&amp;
IF(INT((ROW(D151)-10)/30)+1=7,"CAM","")&amp;
IF(INT((ROW(D151)-10)/30)+1=8,"SCA","") &amp; ".exe")</f>
        <v>☐☐ WinFOL.exe</v>
      </c>
      <c r="D151" s="378" t="str">
        <f>IF(AND(QUOTE_Split_SoftwareHardware,QUOTE_InternetDownload),"",
 IF(N("If it is Cam, Do not Show XL")+AND(ROW(D151)&gt;=189,ROW(D151)&lt;=218),"","☐ XL" &amp;
IF(INT((ROW(D151)-10)/30)+1=1,"STEM","")&amp;
IF(INT((ROW(D151)-10)/30)+1=2,"Cell","")&amp;
IF(INT((ROW(D151)-10)/30)+1=3,"Rhizo","")&amp;
IF(INT((ROW(D151)-10)/30)+1=4,"RhizoT","")&amp;
IF(INT((ROW(D151)-10)/30)+1=5,"Folia","")&amp;
IF(INT((ROW(D151)-10)/30)+1=6,"Seedle","")&amp;
IF(INT((ROW(D151)-10)/30)+1=7,"Cam","")&amp;
IF(INT((ROW(D151)-10)/30)+1=8,"Scanopy","") &amp; ".xls"))</f>
        <v>☐ XLFolia.xls</v>
      </c>
      <c r="E151" s="378" t="s">
        <v>299</v>
      </c>
      <c r="F151" s="379" t="s">
        <v>152</v>
      </c>
      <c r="G151" s="378" t="str">
        <f xml:space="preserve"> IF(N("If it is Cam, Do not Show XL")+AND(ROW(G151)&gt;=189,ROW(G151)&lt;=218),"","☐ XL Man")</f>
        <v>☐ XL Man</v>
      </c>
      <c r="H151" s="379" t="s">
        <v>280</v>
      </c>
      <c r="I151" s="307" t="s">
        <v>274</v>
      </c>
      <c r="J151" s="379" t="str">
        <f>IF(N("Si OR dessous = vrai, pas de box")+OR(
N("1 OR Tron ou CELL")+OR(AND(ROW(E151)&gt;=39,ROW(E151)&lt;=68),AND(ROW(E151)&gt;=99,ROW(E151)&lt;=128)),
N("2 Pas de système scanopy and range opy")+AND(ROW(E151)&gt;=219,ROW(E151)&lt;=248,SCANOPY_N_System&lt;2),
N("3 Avec LC") + IF(AND(IF(PROD_MostPopularScanner="LC",1,0), NOT(AND(ROW(E151)&gt;=129,ROW(E151)&lt;=158)), NOT(AND(ROW(E151)&gt;=189,ROW(E151)&lt;=218))),1,0)
),"","☐ ")
&amp;
IF(N("If it's OPY, put OMount Manual instead")+
AND(ROW(D151)&gt;=219,ROW(D151)&lt;=248),
IF(SCANOPY_N_System&gt;1,
IF(SCANOPY_IndexScanner=1,"α" &amp; SCANOPY_CameraModel,SCANOPY_CameraModel_Mini) &amp; " Man",""),
IF(N("Empty si OR = true . . .If it is Cell or Tron, Do not Show Scanner related items + Hide if LC is favorite on unavailable product")+OR(
AND(ROW(E151)&gt;=39,ROW(E151)&lt;=68),
AND(ROW(E151)&gt;=99,ROW(E151)&lt;=128),
AND(IF(PROD_MostPopularScanner="LC",1,0), NOT(AND(ROW(E151)&gt;=129,ROW(E151)&lt;=158)), NOT(AND(ROW(E151)&gt;=189,ROW(E151)&lt;=218))),
0=1),
    "", IF(1=N("Si système a un scanner différent du Scanner populaire alors différent, sinon Scanner populaire")+AND(NOT(ISERROR(SEARCH("System",J150))),LEFT(J150,2)&lt;&gt;LEFT(PROD_MostPopularScanner,2)),
LEFT(J150,SEARCH("00",J150)-3),
PROD_MostPopularScanner) &amp; " Install Man"))</f>
        <v>☐ Scan. Install Man</v>
      </c>
      <c r="K151" s="378" t="str">
        <f>IF(N("If it is Cell or Tron or OPY, Do not Show Twain")+OR(AND(ROW(K151)&gt;=39,ROW(K151)&lt;=68),AND(ROW(K151)&gt;=99,ROW(K151)&lt;=128),AND(ROW(J151)&gt;=219,ROW(J151)&lt;=248)),"","☐ TWAIN")</f>
        <v>☐ TWAIN</v>
      </c>
      <c r="L151" s="379" t="str">
        <f>IF(AND(IF(PROD_MostPopularScanner="LC",1,0), NOT(AND(ROW(E151)&gt;=129,ROW(E151)&lt;=158)), NOT(AND(ROW(E151)&gt;=189,ROW(E151)&lt;=218))),"",
IF(N("Si OR dessous = vrai, pas de box")+OR(
N("1 OR Dendro+CELL, Tron+Folia,Cam")+OR(
AND(ROW(K151)&gt;=9,ROW(K151)&lt;=68),
AND(ROW(K151)&gt;=99,ROW(K151)&lt;=158),
AND(ROW(K151)&gt;=189,ROW(K151)&lt;=218)),
N("2 Pas de système scanopy and range opy")+AND(ROW(K151)&gt;=219,ROW(K151)&lt;=248,SCANOPY_N_System&lt;2),
N("3 Avec LC")&amp;IF(ISERROR(LEFT(J150,SEARCH("00",J150)-3)),"",LEFT(J150,SEARCH("00",J150)-3))="LC"),"","☐ ")
&amp;
IF(N("If it's OPY, put OMount Manual instead")+
AND(ROW(J151)&gt;=219,ROW(J151)&lt;=248),
IF(SCANOPY_N_System&gt;1,"OMount Man",""),
IF(N("If it is Dendro+CELL, Tron+Folia or Cam, Do not Show Scanner related items+No Video if LC")+OR(
AND(ROW(K151)&gt;=9,ROW(K151)&lt;=68),
AND(ROW(K151)&gt;=99,ROW(K151)&lt;=158),
AND(ROW(K151)&gt;=189,ROW(K151)&lt;=218),
IF(ISERROR(LEFT(J150,SEARCH("00",J150)-3)),"",LEFT(J150,SEARCH("00",J150)-3))="LC"),
    "", "Video " &amp; IF(1=N("Si système a un scanner différent du Scanner populaire alors différent, sinon Scanner populaire")+AND(NOT(ISERROR(SEARCH("System",J150))),LEFT(J150,2)&lt;&gt;LEFT(PROD_MostPopularScanner,2)),
LEFT(J150,SEARCH("00",J150)-3),
PROD_MostPopularScanner) &amp; " Install"))
)</f>
        <v/>
      </c>
      <c r="M151" s="378" t="str">
        <f>IF(N("If it is Dendro or Tron, Do not Show Color Analysis Video")+
OR(AND(ROW(L151)&gt;=9,ROW(L151)&lt;=38),
AND(ROW(L151)&gt;=99,ROW(L151)&lt;=128)), "","☐ Video ClrAna")</f>
        <v>☐ Video ClrAna</v>
      </c>
      <c r="N151" s="379" t="str">
        <f>IF(OR(INT((ROW(D151)-10)/30)+1=2,INT((ROW(D151)-10)/30)+1=4),"","☐ ")&amp;
IF(INT((ROW(D151)-10)/30)+1=1,"Scanner.cal","")&amp;
IF(INT((ROW(D151)-10)/30)+1=2,"","")&amp;
IF(INT((ROW(D151)-10)/30)+1=3,"Scanner.cal","")&amp;
IF(INT((ROW(D151)-10)/30)+1=4,"","")&amp;
IF(INT((ROW(D151)-10)/30)+1=5,"Scanner.cal","")&amp;
IF(INT((ROW(D151)-10)/30)+1=6,"Scanner.cal","")&amp;
IF(INT((ROW(D151)-10)/30)+1=7,"Scanner.cal","")&amp;
IF(INT((ROW(D151)-10)/30)+1=8,"Indiv" &amp; " Lens.cal","")</f>
        <v>☐ Scanner.cal</v>
      </c>
      <c r="O151" s="307" t="str">
        <f>IF(AND(ROW(L151)&gt;=9,ROW(L151)&lt;=38),"☐ RegentTarget.blu","")</f>
        <v/>
      </c>
      <c r="P151" s="215"/>
      <c r="Q151" s="215"/>
    </row>
    <row r="152" spans="1:17" ht="24" customHeight="1" x14ac:dyDescent="0.2">
      <c r="A152" s="431" t="s">
        <v>259</v>
      </c>
      <c r="B152" s="224" t="s">
        <v>259</v>
      </c>
      <c r="C152" s="307" t="s">
        <v>152</v>
      </c>
      <c r="D152" s="307" t="str">
        <f xml:space="preserve"> IF(N("If it is Cam, Do not Show XL")+AND(ROW(D152)&gt;=189,ROW(D152)&lt;=218),"","☐ XL Man")</f>
        <v>☐ XL Man</v>
      </c>
      <c r="E152" s="437" t="str">
        <f>IF(N("Si OR dessous = vrai, pas de box")+OR(
N("1 OR Tron ou CELL")+OR(AND(ROW(K151)&gt;=39,ROW(K151)&lt;=68),AND(ROW(K151)&gt;=99,ROW(K151)&lt;=128)),
N("2 Pas de système scanopy and range opy")+AND(ROW(K151)&gt;=219,ROW(K151)&lt;=248,SCANOPY_N_System&lt;2),
N("3 Avec LC")&amp;IF(ISERROR(LEFT(J150,SEARCH("00",J150)-3)),"",LEFT(J150,SEARCH("00",J150)-3))="LC"),"","☐ ")
&amp;
IF(N("If it's OPY, put OMount Manual instead")+
AND(ROW(J151)&gt;=219,ROW(J151)&lt;=248),
IF(SCANOPY_N_System&gt;1,"OMount Man",""),
IF(N("If it is Cell or Tron, Do not Show Scanner related items")+OR(
AND(ROW(K151)&gt;=39,ROW(K151)&lt;=68),
AND(ROW(K151)&gt;=99,ROW(K151)&lt;=128)),
    "", IF(1=N("Si système a un scanner différent du Scanner populaire alors différent, sinon Scanner populaire")+AND(NOT(ISERROR(SEARCH("System",J150))),LEFT(J150,2)&lt;&gt;LEFT(PROD_MostPopularScanner,2)),
LEFT(J150,SEARCH("00",J150)-3),
PROD_MostPopularScanner) &amp; " Install Man"))</f>
        <v>☐ Scan. Install Man</v>
      </c>
      <c r="F152" s="380" t="s">
        <v>275</v>
      </c>
      <c r="G152" s="307" t="s">
        <v>274</v>
      </c>
      <c r="H152" s="439" t="s">
        <v>250</v>
      </c>
      <c r="I152" s="381"/>
      <c r="J152" s="307" t="str">
        <f ca="1">IF(AND(
INDIRECT(
IF(INT((ROW(D152)-10)/30)+1=1,"DENDRO","")&amp;
IF(INT((ROW(D152)-10)/30)+1=2,"CELL","")&amp;
IF(INT((ROW(D152)-10)/30)+1=3,"RHIZO","")&amp;
IF(INT((ROW(D152)-10)/30)+1=4,"RHIZOTRON","")&amp;
IF(INT((ROW(D152)-10)/30)+1=5,"FOLIA","")&amp;
IF(INT((ROW(D152)-10)/30)+1=6,"SEEDLE","")&amp;
IF(INT((ROW(D152)-10)/30)+1=7,"CAM","")&amp;
IF(INT((ROW(D152)-10)/30)+1=8,"SCANOPY","") &amp; "_ChkB_RemoteUpdate"),
INDIRECT(
IF(INT((ROW(D152)-10)/30)+1=1,"DENDRO","")&amp;
IF(INT((ROW(D152)-10)/30)+1=2,"CELL","")&amp;
IF(INT((ROW(D152)-10)/30)+1=3,"RHIZO","")&amp;
IF(INT((ROW(D152)-10)/30)+1=4,"RHIZOTRON","")&amp;
IF(INT((ROW(D152)-10)/30)+1=5,"FOLIA","")&amp;
IF(INT((ROW(D152)-10)/30)+1=6,"SEEDLE","")&amp;
IF(INT((ROW(D152)-10)/30)+1=7,"CAM","")&amp;
IF(INT((ROW(D152)-10)/30)+1=8,"SCANOPY","") &amp; "_ChkBox_UpgradeUpdate")),
"Clé de bois ou Download. Reprogrammation clé client",
"☐ " &amp; IF(AND(QUOTE_Split_SoftwareHardware,QUOTE_InternetDownload),"Man ds env. ""Documents"", Clé ds bulle collée sur env.","Reliée au Man"))</f>
        <v>☐ Reliée au Man</v>
      </c>
      <c r="K152" s="265"/>
      <c r="L152" s="223"/>
      <c r="M152" s="439"/>
      <c r="N152" s="380"/>
      <c r="O152" s="307"/>
      <c r="P152" s="215"/>
      <c r="Q152" s="215"/>
    </row>
    <row r="153" spans="1:17" ht="16.25" customHeight="1" x14ac:dyDescent="0.2">
      <c r="A153" s="419"/>
      <c r="B153" s="294"/>
      <c r="C153" s="887" t="str">
        <f>IF((FOLIA_N_UpgradeUpdate + FOLIA_N_Software ) = 2,"",LEFT(INDEX(FOLIA_SoftwareFullNames,FOLIA_IndexSoftware),FIND(" ",INDEX(FOLIA_SoftwareFullNames,FOLIA_IndexSoftware),FIND(" ",INDEX(FOLIA_SoftwareFullNames,FOLIA_IndexSoftware))+1)) &amp;
FOLIA_YearMostRecent )</f>
        <v/>
      </c>
      <c r="D153" s="887"/>
      <c r="E153" s="302"/>
      <c r="F153" s="302"/>
      <c r="G153" s="273" t="str">
        <f>IF(FOLIA_OptionXL*(FOLIA_N_Software+FOLIA_N_UpgradeUpdate-2)&gt;=((ROW(G153)-ROW($G$129))/4+1),"XLFOLIA "&amp; FOLIA_YearMostRecent,"")</f>
        <v/>
      </c>
      <c r="H153" s="257"/>
      <c r="I153" s="257"/>
      <c r="J153" s="273" t="str">
        <f>IF(FOLIA_N_System-1&gt;=((ROW(G153)-ROW($G$129))/4+1),IF(FOLIA_IndexScanner=1,"STD4800",IF(FOLIA_IndexScanner=2,"LA2400","LC4800P")) &amp; " System"&amp; IF(AND(FOLIA_ClientWithOrWithoutScanner=2,FOLIA_N_System&gt;1)," Sans Scanner"," Avec Scanner"),
IF(AND(FOLIA_N_Software&gt;FOLIA_N_System,FOLIA_N_Software-1&gt;=((ROW(G153)-ROW($G$129))/4+1)),IF(N_SystemTotal=0,"Software Only",IF(N_STDScanners+N_LAScanners+N_LCScanners=0,"Software Sans Scanner","Software Avec Scanner")),
IF(FOLIA_N_UpgradeUpdate-1&gt;=((ROW(G153)-ROW($G$129))/4+1)-(MAX(FOLIA_N_System,FOLIA_N_Software)-1),"Update","")))</f>
        <v/>
      </c>
      <c r="K153" s="257"/>
      <c r="L153" s="256"/>
      <c r="M153" s="256"/>
      <c r="N153" s="256"/>
      <c r="O153" s="215"/>
      <c r="P153" s="215"/>
      <c r="Q153" s="215"/>
    </row>
    <row r="154" spans="1:17" ht="24" customHeight="1" x14ac:dyDescent="0.2">
      <c r="A154" s="431" t="s">
        <v>258</v>
      </c>
      <c r="B154" s="287" t="s">
        <v>258</v>
      </c>
      <c r="C154" s="378" t="str">
        <f>IF(AND(QUOTE_Split_SoftwareHardware,QUOTE_InternetDownload),"",
"☐☐ Win" &amp;
IF(INT((ROW(D154)-10)/30)+1=1,"DEN","")&amp;
IF(INT((ROW(D154)-10)/30)+1=2,"CEL","")&amp;
IF(INT((ROW(D154)-10)/30)+1=3,"RHI","")&amp;
IF(INT((ROW(D154)-10)/30)+1=4,"RT","")&amp;
IF(INT((ROW(D154)-10)/30)+1=5,"FOL","")&amp;
IF(INT((ROW(D154)-10)/30)+1=6,"SEE","")&amp;
IF(INT((ROW(D154)-10)/30)+1=7,"CAM","")&amp;
IF(INT((ROW(D154)-10)/30)+1=8,"SCA","") &amp; ".exe")</f>
        <v>☐☐ WinFOL.exe</v>
      </c>
      <c r="D154" s="378" t="str">
        <f>IF(AND(QUOTE_Split_SoftwareHardware,QUOTE_InternetDownload),"",
 IF(N("If it is Cam, Do not Show XL")+AND(ROW(D154)&gt;=189,ROW(D154)&lt;=218),"","☐ XL" &amp;
IF(INT((ROW(D154)-10)/30)+1=1,"STEM","")&amp;
IF(INT((ROW(D154)-10)/30)+1=2,"Cell","")&amp;
IF(INT((ROW(D154)-10)/30)+1=3,"Rhizo","")&amp;
IF(INT((ROW(D154)-10)/30)+1=4,"RhizoT","")&amp;
IF(INT((ROW(D154)-10)/30)+1=5,"Folia","")&amp;
IF(INT((ROW(D154)-10)/30)+1=6,"Seedle","")&amp;
IF(INT((ROW(D154)-10)/30)+1=7,"Cam","")&amp;
IF(INT((ROW(D154)-10)/30)+1=8,"Scanopy","") &amp; ".xls"))</f>
        <v>☐ XLFolia.xls</v>
      </c>
      <c r="E154" s="378" t="s">
        <v>299</v>
      </c>
      <c r="F154" s="379" t="s">
        <v>152</v>
      </c>
      <c r="G154" s="378" t="str">
        <f xml:space="preserve"> IF(N("If it is Cam, Do not Show XL")+AND(ROW(G154)&gt;=189,ROW(G154)&lt;=218),"","☐ XL Man")</f>
        <v>☐ XL Man</v>
      </c>
      <c r="H154" s="379" t="s">
        <v>280</v>
      </c>
      <c r="I154" s="307" t="s">
        <v>274</v>
      </c>
      <c r="J154" s="379" t="str">
        <f>IF(N("Si OR dessous = vrai, pas de box")+OR(
N("1 OR Tron ou CELL")+OR(AND(ROW(E154)&gt;=39,ROW(E154)&lt;=68),AND(ROW(E154)&gt;=99,ROW(E154)&lt;=128)),
N("2 Pas de système scanopy and range opy")+AND(ROW(E154)&gt;=219,ROW(E154)&lt;=248,SCANOPY_N_System&lt;2),
N("3 Avec LC") + IF(AND(IF(PROD_MostPopularScanner="LC",1,0), NOT(AND(ROW(E154)&gt;=129,ROW(E154)&lt;=158)), NOT(AND(ROW(E154)&gt;=189,ROW(E154)&lt;=218))),1,0)
),"","☐ ")
&amp;
IF(N("If it's OPY, put OMount Manual instead")+
AND(ROW(D154)&gt;=219,ROW(D154)&lt;=248),
IF(SCANOPY_N_System&gt;1,
IF(SCANOPY_IndexScanner=1,"α" &amp; SCANOPY_CameraModel,SCANOPY_CameraModel_Mini) &amp; " Man",""),
IF(N("Empty si OR = true . . .If it is Cell or Tron, Do not Show Scanner related items + Hide if LC is favorite on unavailable product")+OR(
AND(ROW(E154)&gt;=39,ROW(E154)&lt;=68),
AND(ROW(E154)&gt;=99,ROW(E154)&lt;=128),
AND(IF(PROD_MostPopularScanner="LC",1,0), NOT(AND(ROW(E154)&gt;=129,ROW(E154)&lt;=158)), NOT(AND(ROW(E154)&gt;=189,ROW(E154)&lt;=218))),
0=1),
    "", IF(1=N("Si système a un scanner différent du Scanner populaire alors différent, sinon Scanner populaire")+AND(NOT(ISERROR(SEARCH("System",J153))),LEFT(J153,2)&lt;&gt;LEFT(PROD_MostPopularScanner,2)),
LEFT(J153,SEARCH("00",J153)-3),
PROD_MostPopularScanner) &amp; " Install Man"))</f>
        <v>☐ Scan. Install Man</v>
      </c>
      <c r="K154" s="378" t="str">
        <f>IF(N("If it is Cell or Tron or OPY, Do not Show Twain")+OR(AND(ROW(K154)&gt;=39,ROW(K154)&lt;=68),AND(ROW(K154)&gt;=99,ROW(K154)&lt;=128),AND(ROW(J154)&gt;=219,ROW(J154)&lt;=248)),"","☐ TWAIN")</f>
        <v>☐ TWAIN</v>
      </c>
      <c r="L154" s="379" t="str">
        <f>IF(AND(IF(PROD_MostPopularScanner="LC",1,0), NOT(AND(ROW(E154)&gt;=129,ROW(E154)&lt;=158)), NOT(AND(ROW(E154)&gt;=189,ROW(E154)&lt;=218))),"",
IF(N("Si OR dessous = vrai, pas de box")+OR(
N("1 OR Dendro+CELL, Tron+Folia,Cam")+OR(
AND(ROW(K154)&gt;=9,ROW(K154)&lt;=68),
AND(ROW(K154)&gt;=99,ROW(K154)&lt;=158),
AND(ROW(K154)&gt;=189,ROW(K154)&lt;=218)),
N("2 Pas de système scanopy and range opy")+AND(ROW(K154)&gt;=219,ROW(K154)&lt;=248,SCANOPY_N_System&lt;2),
N("3 Avec LC")&amp;IF(ISERROR(LEFT(J153,SEARCH("00",J153)-3)),"",LEFT(J153,SEARCH("00",J153)-3))="LC"),"","☐ ")
&amp;
IF(N("If it's OPY, put OMount Manual instead")+
AND(ROW(J154)&gt;=219,ROW(J154)&lt;=248),
IF(SCANOPY_N_System&gt;1,"OMount Man",""),
IF(N("If it is Dendro+CELL, Tron+Folia or Cam, Do not Show Scanner related items+No Video if LC")+OR(
AND(ROW(K154)&gt;=9,ROW(K154)&lt;=68),
AND(ROW(K154)&gt;=99,ROW(K154)&lt;=158),
AND(ROW(K154)&gt;=189,ROW(K154)&lt;=218),
IF(ISERROR(LEFT(J153,SEARCH("00",J153)-3)),"",LEFT(J153,SEARCH("00",J153)-3))="LC"),
    "", "Video " &amp; IF(1=N("Si système a un scanner différent du Scanner populaire alors différent, sinon Scanner populaire")+AND(NOT(ISERROR(SEARCH("System",J153))),LEFT(J153,2)&lt;&gt;LEFT(PROD_MostPopularScanner,2)),
LEFT(J153,SEARCH("00",J153)-3),
PROD_MostPopularScanner) &amp; " Install"))
)</f>
        <v/>
      </c>
      <c r="M154" s="378" t="str">
        <f>IF(N("If it is Dendro or Tron, Do not Show Color Analysis Video")+
OR(AND(ROW(L154)&gt;=9,ROW(L154)&lt;=38),
AND(ROW(L154)&gt;=99,ROW(L154)&lt;=128)), "","☐ Video ClrAna")</f>
        <v>☐ Video ClrAna</v>
      </c>
      <c r="N154" s="379" t="str">
        <f>IF(OR(INT((ROW(D154)-10)/30)+1=2,INT((ROW(D154)-10)/30)+1=4),"","☐ ")&amp;
IF(INT((ROW(D154)-10)/30)+1=1,"Scanner.cal","")&amp;
IF(INT((ROW(D154)-10)/30)+1=2,"","")&amp;
IF(INT((ROW(D154)-10)/30)+1=3,"Scanner.cal","")&amp;
IF(INT((ROW(D154)-10)/30)+1=4,"","")&amp;
IF(INT((ROW(D154)-10)/30)+1=5,"Scanner.cal","")&amp;
IF(INT((ROW(D154)-10)/30)+1=6,"Scanner.cal","")&amp;
IF(INT((ROW(D154)-10)/30)+1=7,"Scanner.cal","")&amp;
IF(INT((ROW(D154)-10)/30)+1=8,"Indiv" &amp; " Lens.cal","")</f>
        <v>☐ Scanner.cal</v>
      </c>
      <c r="O154" s="307" t="str">
        <f>IF(AND(ROW(L154)&gt;=9,ROW(L154)&lt;=38),"☐ RegentTarget.blu","")</f>
        <v/>
      </c>
      <c r="P154" s="215"/>
      <c r="Q154" s="215"/>
    </row>
    <row r="155" spans="1:17" ht="24" customHeight="1" x14ac:dyDescent="0.2">
      <c r="A155" s="431" t="s">
        <v>259</v>
      </c>
      <c r="B155" s="224" t="s">
        <v>259</v>
      </c>
      <c r="C155" s="307" t="s">
        <v>152</v>
      </c>
      <c r="D155" s="307" t="str">
        <f xml:space="preserve"> IF(N("If it is Cam, Do not Show XL")+AND(ROW(D155)&gt;=189,ROW(D155)&lt;=218),"","☐ XL Man")</f>
        <v>☐ XL Man</v>
      </c>
      <c r="E155" s="437" t="str">
        <f>IF(N("Si OR dessous = vrai, pas de box")+OR(
N("1 OR Tron ou CELL")+OR(AND(ROW(K154)&gt;=39,ROW(K154)&lt;=68),AND(ROW(K154)&gt;=99,ROW(K154)&lt;=128)),
N("2 Pas de système scanopy and range opy")+AND(ROW(K154)&gt;=219,ROW(K154)&lt;=248,SCANOPY_N_System&lt;2),
N("3 Avec LC")&amp;IF(ISERROR(LEFT(J153,SEARCH("00",J153)-3)),"",LEFT(J153,SEARCH("00",J153)-3))="LC"),"","☐ ")
&amp;
IF(N("If it's OPY, put OMount Manual instead")+
AND(ROW(J154)&gt;=219,ROW(J154)&lt;=248),
IF(SCANOPY_N_System&gt;1,"OMount Man",""),
IF(N("If it is Cell or Tron, Do not Show Scanner related items")+OR(
AND(ROW(K154)&gt;=39,ROW(K154)&lt;=68),
AND(ROW(K154)&gt;=99,ROW(K154)&lt;=128)),
    "", IF(1=N("Si système a un scanner différent du Scanner populaire alors différent, sinon Scanner populaire")+AND(NOT(ISERROR(SEARCH("System",J153))),LEFT(J153,2)&lt;&gt;LEFT(PROD_MostPopularScanner,2)),
LEFT(J153,SEARCH("00",J153)-3),
PROD_MostPopularScanner) &amp; " Install Man"))</f>
        <v>☐ Scan. Install Man</v>
      </c>
      <c r="F155" s="380" t="s">
        <v>275</v>
      </c>
      <c r="G155" s="307" t="s">
        <v>274</v>
      </c>
      <c r="H155" s="439" t="s">
        <v>250</v>
      </c>
      <c r="I155" s="381"/>
      <c r="J155" s="307" t="str">
        <f ca="1">IF(AND(
INDIRECT(
IF(INT((ROW(D155)-10)/30)+1=1,"DENDRO","")&amp;
IF(INT((ROW(D155)-10)/30)+1=2,"CELL","")&amp;
IF(INT((ROW(D155)-10)/30)+1=3,"RHIZO","")&amp;
IF(INT((ROW(D155)-10)/30)+1=4,"RHIZOTRON","")&amp;
IF(INT((ROW(D155)-10)/30)+1=5,"FOLIA","")&amp;
IF(INT((ROW(D155)-10)/30)+1=6,"SEEDLE","")&amp;
IF(INT((ROW(D155)-10)/30)+1=7,"CAM","")&amp;
IF(INT((ROW(D155)-10)/30)+1=8,"SCANOPY","") &amp; "_ChkB_RemoteUpdate"),
INDIRECT(
IF(INT((ROW(D155)-10)/30)+1=1,"DENDRO","")&amp;
IF(INT((ROW(D155)-10)/30)+1=2,"CELL","")&amp;
IF(INT((ROW(D155)-10)/30)+1=3,"RHIZO","")&amp;
IF(INT((ROW(D155)-10)/30)+1=4,"RHIZOTRON","")&amp;
IF(INT((ROW(D155)-10)/30)+1=5,"FOLIA","")&amp;
IF(INT((ROW(D155)-10)/30)+1=6,"SEEDLE","")&amp;
IF(INT((ROW(D155)-10)/30)+1=7,"CAM","")&amp;
IF(INT((ROW(D155)-10)/30)+1=8,"SCANOPY","") &amp; "_ChkBox_UpgradeUpdate")),
"Clé de bois ou Download. Reprogrammation clé client",
"☐ " &amp; IF(AND(QUOTE_Split_SoftwareHardware,QUOTE_InternetDownload),"Man ds env. ""Documents"", Clé ds bulle collée sur env.","Reliée au Man"))</f>
        <v>☐ Reliée au Man</v>
      </c>
      <c r="K155" s="265"/>
      <c r="L155" s="223"/>
      <c r="M155" s="439"/>
      <c r="N155" s="380"/>
      <c r="O155" s="307"/>
      <c r="P155" s="215"/>
      <c r="Q155" s="215"/>
    </row>
    <row r="156" spans="1:17" ht="16.25" customHeight="1" x14ac:dyDescent="0.2">
      <c r="A156" s="419"/>
      <c r="B156" s="294"/>
      <c r="C156" s="887" t="str">
        <f>IF((FOLIA_N_UpgradeUpdate + FOLIA_N_Software ) = 2,"",LEFT(INDEX(FOLIA_SoftwareFullNames,FOLIA_IndexSoftware),FIND(" ",INDEX(FOLIA_SoftwareFullNames,FOLIA_IndexSoftware),FIND(" ",INDEX(FOLIA_SoftwareFullNames,FOLIA_IndexSoftware))+1)) &amp;
FOLIA_YearMostRecent )</f>
        <v/>
      </c>
      <c r="D156" s="887"/>
      <c r="E156" s="302"/>
      <c r="F156" s="302"/>
      <c r="G156" s="273" t="str">
        <f>IF(FOLIA_OptionXL*(FOLIA_N_Software+FOLIA_N_UpgradeUpdate-2)&gt;=((ROW(G156)-ROW($G$129))/4+1),"XLFOLIA "&amp; FOLIA_YearMostRecent,"")</f>
        <v/>
      </c>
      <c r="H156" s="257"/>
      <c r="I156" s="257"/>
      <c r="J156" s="273" t="str">
        <f>IF(FOLIA_N_System-1&gt;=((ROW(G156)-ROW($G$129))/4+1),IF(FOLIA_IndexScanner=1,"STD4800",IF(FOLIA_IndexScanner=2,"LA2400","LC4800P")) &amp; " System"&amp; IF(AND(FOLIA_ClientWithOrWithoutScanner=2,FOLIA_N_System&gt;1)," Sans Scanner"," Avec Scanner"),
IF(AND(FOLIA_N_Software&gt;FOLIA_N_System,FOLIA_N_Software-1&gt;=((ROW(G156)-ROW($G$129))/4+1)),IF(N_SystemTotal=0,"Software Only",IF(N_STDScanners+N_LAScanners+N_LCScanners=0,"Software Sans Scanner","Software Avec Scanner")),
IF(FOLIA_N_UpgradeUpdate-1&gt;=((ROW(G156)-ROW($G$129))/4+1)-(MAX(FOLIA_N_System,FOLIA_N_Software)-1),"Update","")))</f>
        <v/>
      </c>
      <c r="K156" s="257"/>
      <c r="L156" s="256"/>
      <c r="M156" s="256"/>
      <c r="N156" s="256"/>
      <c r="O156" s="215"/>
      <c r="P156" s="215"/>
      <c r="Q156" s="215"/>
    </row>
    <row r="157" spans="1:17" ht="24" customHeight="1" x14ac:dyDescent="0.2">
      <c r="A157" s="431" t="s">
        <v>258</v>
      </c>
      <c r="B157" s="287" t="s">
        <v>258</v>
      </c>
      <c r="C157" s="378" t="str">
        <f>IF(AND(QUOTE_Split_SoftwareHardware,QUOTE_InternetDownload),"",
"☐☐ Win" &amp;
IF(INT((ROW(D157)-10)/30)+1=1,"DEN","")&amp;
IF(INT((ROW(D157)-10)/30)+1=2,"CEL","")&amp;
IF(INT((ROW(D157)-10)/30)+1=3,"RHI","")&amp;
IF(INT((ROW(D157)-10)/30)+1=4,"RT","")&amp;
IF(INT((ROW(D157)-10)/30)+1=5,"FOL","")&amp;
IF(INT((ROW(D157)-10)/30)+1=6,"SEE","")&amp;
IF(INT((ROW(D157)-10)/30)+1=7,"CAM","")&amp;
IF(INT((ROW(D157)-10)/30)+1=8,"SCA","") &amp; ".exe")</f>
        <v>☐☐ WinFOL.exe</v>
      </c>
      <c r="D157" s="378" t="str">
        <f>IF(AND(QUOTE_Split_SoftwareHardware,QUOTE_InternetDownload),"",
 IF(N("If it is Cam, Do not Show XL")+AND(ROW(D157)&gt;=189,ROW(D157)&lt;=218),"","☐ XL" &amp;
IF(INT((ROW(D157)-10)/30)+1=1,"STEM","")&amp;
IF(INT((ROW(D157)-10)/30)+1=2,"Cell","")&amp;
IF(INT((ROW(D157)-10)/30)+1=3,"Rhizo","")&amp;
IF(INT((ROW(D157)-10)/30)+1=4,"RhizoT","")&amp;
IF(INT((ROW(D157)-10)/30)+1=5,"Folia","")&amp;
IF(INT((ROW(D157)-10)/30)+1=6,"Seedle","")&amp;
IF(INT((ROW(D157)-10)/30)+1=7,"Cam","")&amp;
IF(INT((ROW(D157)-10)/30)+1=8,"Scanopy","") &amp; ".xls"))</f>
        <v>☐ XLFolia.xls</v>
      </c>
      <c r="E157" s="378" t="s">
        <v>299</v>
      </c>
      <c r="F157" s="379" t="s">
        <v>152</v>
      </c>
      <c r="G157" s="378" t="str">
        <f xml:space="preserve"> IF(N("If it is Cam, Do not Show XL")+AND(ROW(G157)&gt;=189,ROW(G157)&lt;=218),"","☐ XL Man")</f>
        <v>☐ XL Man</v>
      </c>
      <c r="H157" s="379" t="s">
        <v>280</v>
      </c>
      <c r="I157" s="307" t="s">
        <v>274</v>
      </c>
      <c r="J157" s="379" t="str">
        <f>IF(N("Si OR dessous = vrai, pas de box")+OR(
N("1 OR Tron ou CELL")+OR(AND(ROW(E157)&gt;=39,ROW(E157)&lt;=68),AND(ROW(E157)&gt;=99,ROW(E157)&lt;=128)),
N("2 Pas de système scanopy and range opy")+AND(ROW(E157)&gt;=219,ROW(E157)&lt;=248,SCANOPY_N_System&lt;2),
N("3 Avec LC") + IF(AND(IF(PROD_MostPopularScanner="LC",1,0), NOT(AND(ROW(E157)&gt;=129,ROW(E157)&lt;=158)), NOT(AND(ROW(E157)&gt;=189,ROW(E157)&lt;=218))),1,0)
),"","☐ ")
&amp;
IF(N("If it's OPY, put OMount Manual instead")+
AND(ROW(D157)&gt;=219,ROW(D157)&lt;=248),
IF(SCANOPY_N_System&gt;1,
IF(SCANOPY_IndexScanner=1,"α" &amp; SCANOPY_CameraModel,SCANOPY_CameraModel_Mini) &amp; " Man",""),
IF(N("Empty si OR = true . . .If it is Cell or Tron, Do not Show Scanner related items + Hide if LC is favorite on unavailable product")+OR(
AND(ROW(E157)&gt;=39,ROW(E157)&lt;=68),
AND(ROW(E157)&gt;=99,ROW(E157)&lt;=128),
AND(IF(PROD_MostPopularScanner="LC",1,0), NOT(AND(ROW(E157)&gt;=129,ROW(E157)&lt;=158)), NOT(AND(ROW(E157)&gt;=189,ROW(E157)&lt;=218))),
0=1),
    "", IF(1=N("Si système a un scanner différent du Scanner populaire alors différent, sinon Scanner populaire")+AND(NOT(ISERROR(SEARCH("System",J156))),LEFT(J156,2)&lt;&gt;LEFT(PROD_MostPopularScanner,2)),
LEFT(J156,SEARCH("00",J156)-3),
PROD_MostPopularScanner) &amp; " Install Man"))</f>
        <v>☐ Scan. Install Man</v>
      </c>
      <c r="K157" s="378" t="str">
        <f>IF(N("If it is Cell or Tron or OPY, Do not Show Twain")+OR(AND(ROW(K157)&gt;=39,ROW(K157)&lt;=68),AND(ROW(K157)&gt;=99,ROW(K157)&lt;=128),AND(ROW(J157)&gt;=219,ROW(J157)&lt;=248)),"","☐ TWAIN")</f>
        <v>☐ TWAIN</v>
      </c>
      <c r="L157" s="379" t="str">
        <f>IF(AND(IF(PROD_MostPopularScanner="LC",1,0), NOT(AND(ROW(E157)&gt;=129,ROW(E157)&lt;=158)), NOT(AND(ROW(E157)&gt;=189,ROW(E157)&lt;=218))),"",
IF(N("Si OR dessous = vrai, pas de box")+OR(
N("1 OR Dendro+CELL, Tron+Folia,Cam")+OR(
AND(ROW(K157)&gt;=9,ROW(K157)&lt;=68),
AND(ROW(K157)&gt;=99,ROW(K157)&lt;=158),
AND(ROW(K157)&gt;=189,ROW(K157)&lt;=218)),
N("2 Pas de système scanopy and range opy")+AND(ROW(K157)&gt;=219,ROW(K157)&lt;=248,SCANOPY_N_System&lt;2),
N("3 Avec LC")&amp;IF(ISERROR(LEFT(J156,SEARCH("00",J156)-3)),"",LEFT(J156,SEARCH("00",J156)-3))="LC"),"","☐ ")
&amp;
IF(N("If it's OPY, put OMount Manual instead")+
AND(ROW(J157)&gt;=219,ROW(J157)&lt;=248),
IF(SCANOPY_N_System&gt;1,"OMount Man",""),
IF(N("If it is Dendro+CELL, Tron+Folia or Cam, Do not Show Scanner related items+No Video if LC")+OR(
AND(ROW(K157)&gt;=9,ROW(K157)&lt;=68),
AND(ROW(K157)&gt;=99,ROW(K157)&lt;=158),
AND(ROW(K157)&gt;=189,ROW(K157)&lt;=218),
IF(ISERROR(LEFT(J156,SEARCH("00",J156)-3)),"",LEFT(J156,SEARCH("00",J156)-3))="LC"),
    "", "Video " &amp; IF(1=N("Si système a un scanner différent du Scanner populaire alors différent, sinon Scanner populaire")+AND(NOT(ISERROR(SEARCH("System",J156))),LEFT(J156,2)&lt;&gt;LEFT(PROD_MostPopularScanner,2)),
LEFT(J156,SEARCH("00",J156)-3),
PROD_MostPopularScanner) &amp; " Install"))
)</f>
        <v/>
      </c>
      <c r="M157" s="378" t="str">
        <f>IF(N("If it is Dendro or Tron, Do not Show Color Analysis Video")+
OR(AND(ROW(L157)&gt;=9,ROW(L157)&lt;=38),
AND(ROW(L157)&gt;=99,ROW(L157)&lt;=128)), "","☐ Video ClrAna")</f>
        <v>☐ Video ClrAna</v>
      </c>
      <c r="N157" s="379" t="str">
        <f>IF(OR(INT((ROW(D157)-10)/30)+1=2,INT((ROW(D157)-10)/30)+1=4),"","☐ ")&amp;
IF(INT((ROW(D157)-10)/30)+1=1,"Scanner.cal","")&amp;
IF(INT((ROW(D157)-10)/30)+1=2,"","")&amp;
IF(INT((ROW(D157)-10)/30)+1=3,"Scanner.cal","")&amp;
IF(INT((ROW(D157)-10)/30)+1=4,"","")&amp;
IF(INT((ROW(D157)-10)/30)+1=5,"Scanner.cal","")&amp;
IF(INT((ROW(D157)-10)/30)+1=6,"Scanner.cal","")&amp;
IF(INT((ROW(D157)-10)/30)+1=7,"Scanner.cal","")&amp;
IF(INT((ROW(D157)-10)/30)+1=8,"Indiv" &amp; " Lens.cal","")</f>
        <v>☐ Scanner.cal</v>
      </c>
      <c r="O157" s="307" t="str">
        <f>IF(AND(ROW(L157)&gt;=9,ROW(L157)&lt;=38),"☐ RegentTarget.blu","")</f>
        <v/>
      </c>
      <c r="P157" s="215"/>
      <c r="Q157" s="215"/>
    </row>
    <row r="158" spans="1:17" ht="24" customHeight="1" x14ac:dyDescent="0.2">
      <c r="A158" s="431" t="s">
        <v>259</v>
      </c>
      <c r="B158" s="224" t="s">
        <v>259</v>
      </c>
      <c r="C158" s="307" t="s">
        <v>152</v>
      </c>
      <c r="D158" s="307" t="str">
        <f xml:space="preserve"> IF(N("If it is Cam, Do not Show XL")+AND(ROW(D158)&gt;=189,ROW(D158)&lt;=218),"","☐ XL Man")</f>
        <v>☐ XL Man</v>
      </c>
      <c r="E158" s="437" t="str">
        <f>IF(N("Si OR dessous = vrai, pas de box")+OR(
N("1 OR Tron ou CELL")+OR(AND(ROW(K157)&gt;=39,ROW(K157)&lt;=68),AND(ROW(K157)&gt;=99,ROW(K157)&lt;=128)),
N("2 Pas de système scanopy and range opy")+AND(ROW(K157)&gt;=219,ROW(K157)&lt;=248,SCANOPY_N_System&lt;2),
N("3 Avec LC")&amp;IF(ISERROR(LEFT(J156,SEARCH("00",J156)-3)),"",LEFT(J156,SEARCH("00",J156)-3))="LC"),"","☐ ")
&amp;
IF(N("If it's OPY, put OMount Manual instead")+
AND(ROW(J157)&gt;=219,ROW(J157)&lt;=248),
IF(SCANOPY_N_System&gt;1,"OMount Man",""),
IF(N("If it is Cell or Tron, Do not Show Scanner related items")+OR(
AND(ROW(K157)&gt;=39,ROW(K157)&lt;=68),
AND(ROW(K157)&gt;=99,ROW(K157)&lt;=128)),
    "", IF(1=N("Si système a un scanner différent du Scanner populaire alors différent, sinon Scanner populaire")+AND(NOT(ISERROR(SEARCH("System",J156))),LEFT(J156,2)&lt;&gt;LEFT(PROD_MostPopularScanner,2)),
LEFT(J156,SEARCH("00",J156)-3),
PROD_MostPopularScanner) &amp; " Install Man"))</f>
        <v>☐ Scan. Install Man</v>
      </c>
      <c r="F158" s="380" t="s">
        <v>275</v>
      </c>
      <c r="G158" s="307" t="s">
        <v>274</v>
      </c>
      <c r="H158" s="439" t="s">
        <v>250</v>
      </c>
      <c r="I158" s="381"/>
      <c r="J158" s="307" t="str">
        <f ca="1">IF(AND(
INDIRECT(
IF(INT((ROW(D158)-10)/30)+1=1,"DENDRO","")&amp;
IF(INT((ROW(D158)-10)/30)+1=2,"CELL","")&amp;
IF(INT((ROW(D158)-10)/30)+1=3,"RHIZO","")&amp;
IF(INT((ROW(D158)-10)/30)+1=4,"RHIZOTRON","")&amp;
IF(INT((ROW(D158)-10)/30)+1=5,"FOLIA","")&amp;
IF(INT((ROW(D158)-10)/30)+1=6,"SEEDLE","")&amp;
IF(INT((ROW(D158)-10)/30)+1=7,"CAM","")&amp;
IF(INT((ROW(D158)-10)/30)+1=8,"SCANOPY","") &amp; "_ChkB_RemoteUpdate"),
INDIRECT(
IF(INT((ROW(D158)-10)/30)+1=1,"DENDRO","")&amp;
IF(INT((ROW(D158)-10)/30)+1=2,"CELL","")&amp;
IF(INT((ROW(D158)-10)/30)+1=3,"RHIZO","")&amp;
IF(INT((ROW(D158)-10)/30)+1=4,"RHIZOTRON","")&amp;
IF(INT((ROW(D158)-10)/30)+1=5,"FOLIA","")&amp;
IF(INT((ROW(D158)-10)/30)+1=6,"SEEDLE","")&amp;
IF(INT((ROW(D158)-10)/30)+1=7,"CAM","")&amp;
IF(INT((ROW(D158)-10)/30)+1=8,"SCANOPY","") &amp; "_ChkBox_UpgradeUpdate")),
"Clé de bois ou Download. Reprogrammation clé client",
"☐ " &amp; IF(AND(QUOTE_Split_SoftwareHardware,QUOTE_InternetDownload),"Man ds env. ""Documents"", Clé ds bulle collée sur env.","Reliée au Man"))</f>
        <v>☐ Reliée au Man</v>
      </c>
      <c r="K158" s="265"/>
      <c r="L158" s="223"/>
      <c r="M158" s="439"/>
      <c r="N158" s="380"/>
      <c r="O158" s="307"/>
      <c r="P158" s="215"/>
      <c r="Q158" s="215"/>
    </row>
    <row r="159" spans="1:17" ht="16.25" customHeight="1" x14ac:dyDescent="0.2">
      <c r="A159" s="420"/>
      <c r="B159" s="295"/>
      <c r="C159" s="886" t="str">
        <f>IF((SEEDLE_N_UpgradeUpdate + SEEDLE_N_Software ) = 2,"",LEFT(INDEX(SEEDLE_SoftwareFullNames,SEEDLE_IndexSoftware),FIND(" ",INDEX(SEEDLE_SoftwareFullNames,SEEDLE_IndexSoftware),FIND(" ",INDEX(SEEDLE_SoftwareFullNames,SEEDLE_IndexSoftware))+1)) &amp;
SEEDLE_YearMostRecent )</f>
        <v/>
      </c>
      <c r="D159" s="886"/>
      <c r="E159" s="303"/>
      <c r="F159" s="303"/>
      <c r="G159" s="274" t="str">
        <f>IF(SEEDLE_OptionXL*(SEEDLE_N_Software+SEEDLE_N_UpgradeUpdate-2)&gt;=((ROW(G159)-ROW($G$159))/4+1),"XLSEEDLE "&amp; SEEDLE_YearMostRecent,"")</f>
        <v/>
      </c>
      <c r="H159" s="259"/>
      <c r="I159" s="259"/>
      <c r="J159" s="274" t="str">
        <f>IF(SEEDLE_N_System-1&gt;=((ROW(G159)-ROW($G$159))/4+1),IF(SEEDLE_IndexScanner=1,"STD4800","LA2400") &amp; " System"&amp; IF(AND(SEEDLE_ClientWithOrWithoutScanner=2,SEEDLE_N_System&gt;1)," Sans Scanner"," Avec Scanner"),
IF(AND(SEEDLE_N_Software&gt;SEEDLE_N_System,SEEDLE_N_Software-1&gt;=((ROW(G159)-ROW($G$159))/4+1)),IF(N_SystemTotal=0,"Software Only",IF(N_STDScanners+N_LAScanners+N_LCScanners=0,"Software Sans Scanner","Software Avec Scanner")),
IF(SEEDLE_N_UpgradeUpdate-1&gt;=((ROW(G159)-ROW($G$159))/4+1)-(MAX(SEEDLE_N_System,SEEDLE_N_Software)-1),"Update","")))</f>
        <v/>
      </c>
      <c r="K159" s="259"/>
      <c r="L159" s="258"/>
      <c r="M159" s="258"/>
      <c r="N159" s="258"/>
      <c r="O159" s="215"/>
      <c r="P159" s="215"/>
      <c r="Q159" s="215"/>
    </row>
    <row r="160" spans="1:17" ht="24" customHeight="1" x14ac:dyDescent="0.2">
      <c r="A160" s="432" t="s">
        <v>258</v>
      </c>
      <c r="B160" s="287" t="s">
        <v>258</v>
      </c>
      <c r="C160" s="378" t="str">
        <f>IF(AND(QUOTE_Split_SoftwareHardware,QUOTE_InternetDownload),"",
"☐☐ Win" &amp;
IF(INT((ROW(D160)-10)/30)+1=1,"DEN","")&amp;
IF(INT((ROW(D160)-10)/30)+1=2,"CEL","")&amp;
IF(INT((ROW(D160)-10)/30)+1=3,"RHI","")&amp;
IF(INT((ROW(D160)-10)/30)+1=4,"RT","")&amp;
IF(INT((ROW(D160)-10)/30)+1=5,"FOL","")&amp;
IF(INT((ROW(D160)-10)/30)+1=6,"SEE","")&amp;
IF(INT((ROW(D160)-10)/30)+1=7,"CAM","")&amp;
IF(INT((ROW(D160)-10)/30)+1=8,"SCA","") &amp; ".exe")</f>
        <v>☐☐ WinSEE.exe</v>
      </c>
      <c r="D160" s="378" t="str">
        <f>IF(AND(QUOTE_Split_SoftwareHardware,QUOTE_InternetDownload),"",
 IF(N("If it is Cam, Do not Show XL")+AND(ROW(D160)&gt;=189,ROW(D160)&lt;=218),"","☐ XL" &amp;
IF(INT((ROW(D160)-10)/30)+1=1,"STEM","")&amp;
IF(INT((ROW(D160)-10)/30)+1=2,"Cell","")&amp;
IF(INT((ROW(D160)-10)/30)+1=3,"Rhizo","")&amp;
IF(INT((ROW(D160)-10)/30)+1=4,"RhizoT","")&amp;
IF(INT((ROW(D160)-10)/30)+1=5,"Folia","")&amp;
IF(INT((ROW(D160)-10)/30)+1=6,"Seedle","")&amp;
IF(INT((ROW(D160)-10)/30)+1=7,"Cam","")&amp;
IF(INT((ROW(D160)-10)/30)+1=8,"Scanopy","") &amp; ".xls"))</f>
        <v>☐ XLSeedle.xls</v>
      </c>
      <c r="E160" s="378" t="s">
        <v>299</v>
      </c>
      <c r="F160" s="379" t="s">
        <v>152</v>
      </c>
      <c r="G160" s="378" t="str">
        <f xml:space="preserve"> IF(N("If it is Cam, Do not Show XL")+AND(ROW(G160)&gt;=189,ROW(G160)&lt;=218),"","☐ XL Man")</f>
        <v>☐ XL Man</v>
      </c>
      <c r="H160" s="379" t="s">
        <v>280</v>
      </c>
      <c r="I160" s="307" t="s">
        <v>274</v>
      </c>
      <c r="J160" s="379" t="str">
        <f>IF(N("Si OR dessous = vrai, pas de box")+OR(
N("1 OR Tron ou CELL")+OR(AND(ROW(E160)&gt;=39,ROW(E160)&lt;=68),AND(ROW(E160)&gt;=99,ROW(E160)&lt;=128)),
N("2 Pas de système scanopy and range opy")+AND(ROW(E160)&gt;=219,ROW(E160)&lt;=248,SCANOPY_N_System&lt;2),
N("3 Avec LC") + IF(AND(IF(PROD_MostPopularScanner="LC",1,0), NOT(AND(ROW(E160)&gt;=129,ROW(E160)&lt;=158)), NOT(AND(ROW(E160)&gt;=189,ROW(E160)&lt;=218))),1,0)
),"","☐ ")
&amp;
IF(N("If it's OPY, put OMount Manual instead")+
AND(ROW(D160)&gt;=219,ROW(D160)&lt;=248),
IF(SCANOPY_N_System&gt;1,
IF(SCANOPY_IndexScanner=1,"α" &amp; SCANOPY_CameraModel,SCANOPY_CameraModel_Mini) &amp; " Man",""),
IF(N("Empty si OR = true . . .If it is Cell or Tron, Do not Show Scanner related items + Hide if LC is favorite on unavailable product")+OR(
AND(ROW(E160)&gt;=39,ROW(E160)&lt;=68),
AND(ROW(E160)&gt;=99,ROW(E160)&lt;=128),
AND(IF(PROD_MostPopularScanner="LC",1,0), NOT(AND(ROW(E160)&gt;=129,ROW(E160)&lt;=158)), NOT(AND(ROW(E160)&gt;=189,ROW(E160)&lt;=218))),
0=1),
    "", IF(1=N("Si système a un scanner différent du Scanner populaire alors différent, sinon Scanner populaire")+AND(NOT(ISERROR(SEARCH("System",J159))),LEFT(J159,2)&lt;&gt;LEFT(PROD_MostPopularScanner,2)),
LEFT(J159,SEARCH("00",J159)-3),
PROD_MostPopularScanner) &amp; " Install Man"))</f>
        <v>☐ Scan. Install Man</v>
      </c>
      <c r="K160" s="378" t="str">
        <f>IF(N("If it is Cell or Tron or OPY, Do not Show Twain")+OR(AND(ROW(K160)&gt;=39,ROW(K160)&lt;=68),AND(ROW(K160)&gt;=99,ROW(K160)&lt;=128),AND(ROW(J160)&gt;=219,ROW(J160)&lt;=248)),"","☐ TWAIN")</f>
        <v>☐ TWAIN</v>
      </c>
      <c r="L160" s="379" t="str">
        <f>IF(AND(IF(PROD_MostPopularScanner="LC",1,0), NOT(AND(ROW(E160)&gt;=129,ROW(E160)&lt;=158)), NOT(AND(ROW(E160)&gt;=189,ROW(E160)&lt;=218))),"",
IF(N("Si OR dessous = vrai, pas de box")+OR(
N("1 OR Dendro+CELL, Tron+Folia,Cam")+OR(
AND(ROW(K160)&gt;=9,ROW(K160)&lt;=68),
AND(ROW(K160)&gt;=99,ROW(K160)&lt;=158),
AND(ROW(K160)&gt;=189,ROW(K160)&lt;=218)),
N("2 Pas de système scanopy and range opy")+AND(ROW(K160)&gt;=219,ROW(K160)&lt;=248,SCANOPY_N_System&lt;2),
N("3 Avec LC")&amp;IF(ISERROR(LEFT(J159,SEARCH("00",J159)-3)),"",LEFT(J159,SEARCH("00",J159)-3))="LC"),"","☐ ")
&amp;
IF(N("If it's OPY, put OMount Manual instead")+
AND(ROW(J160)&gt;=219,ROW(J160)&lt;=248),
IF(SCANOPY_N_System&gt;1,"OMount Man",""),
IF(N("If it is Dendro+CELL, Tron+Folia or Cam, Do not Show Scanner related items+No Video if LC")+OR(
AND(ROW(K160)&gt;=9,ROW(K160)&lt;=68),
AND(ROW(K160)&gt;=99,ROW(K160)&lt;=158),
AND(ROW(K160)&gt;=189,ROW(K160)&lt;=218),
IF(ISERROR(LEFT(J159,SEARCH("00",J159)-3)),"",LEFT(J159,SEARCH("00",J159)-3))="LC"),
    "", "Video " &amp; IF(1=N("Si système a un scanner différent du Scanner populaire alors différent, sinon Scanner populaire")+AND(NOT(ISERROR(SEARCH("System",J159))),LEFT(J159,2)&lt;&gt;LEFT(PROD_MostPopularScanner,2)),
LEFT(J159,SEARCH("00",J159)-3),
PROD_MostPopularScanner) &amp; " Install"))
)</f>
        <v>☐ Video Scan. Install</v>
      </c>
      <c r="M160" s="378" t="str">
        <f>IF(N("If it is Dendro or Tron, Do not Show Color Analysis Video")+
OR(AND(ROW(L160)&gt;=9,ROW(L160)&lt;=38),
AND(ROW(L160)&gt;=99,ROW(L160)&lt;=128)), "","☐ Video ClrAna")</f>
        <v>☐ Video ClrAna</v>
      </c>
      <c r="N160" s="379" t="str">
        <f>IF(OR(INT((ROW(D160)-10)/30)+1=2,INT((ROW(D160)-10)/30)+1=4),"","☐ ")&amp;
IF(INT((ROW(D160)-10)/30)+1=1,"Scanner.cal","")&amp;
IF(INT((ROW(D160)-10)/30)+1=2,"","")&amp;
IF(INT((ROW(D160)-10)/30)+1=3,"Scanner.cal","")&amp;
IF(INT((ROW(D160)-10)/30)+1=4,"","")&amp;
IF(INT((ROW(D160)-10)/30)+1=5,"Scanner.cal","")&amp;
IF(INT((ROW(D160)-10)/30)+1=6,"Scanner.cal","")&amp;
IF(INT((ROW(D160)-10)/30)+1=7,"Scanner.cal","")&amp;
IF(INT((ROW(D160)-10)/30)+1=8,"Indiv" &amp; " Lens.cal","")</f>
        <v>☐ Scanner.cal</v>
      </c>
      <c r="O160" s="307" t="str">
        <f>IF(AND(ROW(L160)&gt;=9,ROW(L160)&lt;=38),"☐ RegentTarget.blu","")</f>
        <v/>
      </c>
      <c r="P160" s="215"/>
      <c r="Q160" s="215"/>
    </row>
    <row r="161" spans="1:17" ht="24" customHeight="1" x14ac:dyDescent="0.2">
      <c r="A161" s="432" t="s">
        <v>259</v>
      </c>
      <c r="B161" s="224" t="s">
        <v>259</v>
      </c>
      <c r="C161" s="307" t="s">
        <v>152</v>
      </c>
      <c r="D161" s="307" t="str">
        <f xml:space="preserve"> IF(N("If it is Cam, Do not Show XL")+AND(ROW(D161)&gt;=189,ROW(D161)&lt;=218),"","☐ XL Man")</f>
        <v>☐ XL Man</v>
      </c>
      <c r="E161" s="437" t="str">
        <f>IF(N("Si OR dessous = vrai, pas de box")+OR(
N("1 OR Tron ou CELL")+OR(AND(ROW(K160)&gt;=39,ROW(K160)&lt;=68),AND(ROW(K160)&gt;=99,ROW(K160)&lt;=128)),
N("2 Pas de système scanopy and range opy")+AND(ROW(K160)&gt;=219,ROW(K160)&lt;=248,SCANOPY_N_System&lt;2),
N("3 Avec LC")&amp;IF(ISERROR(LEFT(J159,SEARCH("00",J159)-3)),"",LEFT(J159,SEARCH("00",J159)-3))="LC"),"","☐ ")
&amp;
IF(N("If it's OPY, put OMount Manual instead")+
AND(ROW(J160)&gt;=219,ROW(J160)&lt;=248),
IF(SCANOPY_N_System&gt;1,"OMount Man",""),
IF(N("If it is Cell or Tron, Do not Show Scanner related items")+OR(
AND(ROW(K160)&gt;=39,ROW(K160)&lt;=68),
AND(ROW(K160)&gt;=99,ROW(K160)&lt;=128)),
    "", IF(1=N("Si système a un scanner différent du Scanner populaire alors différent, sinon Scanner populaire")+AND(NOT(ISERROR(SEARCH("System",J159))),LEFT(J159,2)&lt;&gt;LEFT(PROD_MostPopularScanner,2)),
LEFT(J159,SEARCH("00",J159)-3),
PROD_MostPopularScanner) &amp; " Install Man"))</f>
        <v>☐ Scan. Install Man</v>
      </c>
      <c r="F161" s="380" t="s">
        <v>275</v>
      </c>
      <c r="G161" s="307" t="s">
        <v>274</v>
      </c>
      <c r="H161" s="439" t="s">
        <v>250</v>
      </c>
      <c r="I161" s="381"/>
      <c r="J161" s="307" t="str">
        <f ca="1">IF(AND(
INDIRECT(
IF(INT((ROW(D161)-10)/30)+1=1,"DENDRO","")&amp;
IF(INT((ROW(D161)-10)/30)+1=2,"CELL","")&amp;
IF(INT((ROW(D161)-10)/30)+1=3,"RHIZO","")&amp;
IF(INT((ROW(D161)-10)/30)+1=4,"RHIZOTRON","")&amp;
IF(INT((ROW(D161)-10)/30)+1=5,"FOLIA","")&amp;
IF(INT((ROW(D161)-10)/30)+1=6,"SEEDLE","")&amp;
IF(INT((ROW(D161)-10)/30)+1=7,"CAM","")&amp;
IF(INT((ROW(D161)-10)/30)+1=8,"SCANOPY","") &amp; "_ChkB_RemoteUpdate"),
INDIRECT(
IF(INT((ROW(D161)-10)/30)+1=1,"DENDRO","")&amp;
IF(INT((ROW(D161)-10)/30)+1=2,"CELL","")&amp;
IF(INT((ROW(D161)-10)/30)+1=3,"RHIZO","")&amp;
IF(INT((ROW(D161)-10)/30)+1=4,"RHIZOTRON","")&amp;
IF(INT((ROW(D161)-10)/30)+1=5,"FOLIA","")&amp;
IF(INT((ROW(D161)-10)/30)+1=6,"SEEDLE","")&amp;
IF(INT((ROW(D161)-10)/30)+1=7,"CAM","")&amp;
IF(INT((ROW(D161)-10)/30)+1=8,"SCANOPY","") &amp; "_ChkBox_UpgradeUpdate")),
"Clé de bois ou Download. Reprogrammation clé client",
"☐ " &amp; IF(AND(QUOTE_Split_SoftwareHardware,QUOTE_InternetDownload),"Man ds env. ""Documents"", Clé ds bulle collée sur env.","Reliée au Man"))</f>
        <v>☐ Reliée au Man</v>
      </c>
      <c r="K161" s="265"/>
      <c r="L161" s="223"/>
      <c r="M161" s="439"/>
      <c r="N161" s="380"/>
      <c r="O161" s="307"/>
      <c r="P161" s="215"/>
      <c r="Q161" s="215"/>
    </row>
    <row r="162" spans="1:17" ht="16.25" customHeight="1" x14ac:dyDescent="0.2">
      <c r="A162" s="420"/>
      <c r="B162" s="295"/>
      <c r="C162" s="886" t="str">
        <f>IF((SEEDLE_N_UpgradeUpdate + SEEDLE_N_Software ) = 2,"",LEFT(INDEX(SEEDLE_SoftwareFullNames,SEEDLE_IndexSoftware),FIND(" ",INDEX(SEEDLE_SoftwareFullNames,SEEDLE_IndexSoftware),FIND(" ",INDEX(SEEDLE_SoftwareFullNames,SEEDLE_IndexSoftware))+1)) &amp;
SEEDLE_YearMostRecent )</f>
        <v/>
      </c>
      <c r="D162" s="886"/>
      <c r="E162" s="303"/>
      <c r="F162" s="303"/>
      <c r="G162" s="274" t="str">
        <f>IF(SEEDLE_OptionXL*(SEEDLE_N_Software+SEEDLE_N_UpgradeUpdate-2)&gt;=((ROW(G162)-ROW($G$159))/4+1),"XLSEEDLE "&amp; SEEDLE_YearMostRecent,"")</f>
        <v/>
      </c>
      <c r="H162" s="259"/>
      <c r="I162" s="259"/>
      <c r="J162" s="274" t="str">
        <f>IF(SEEDLE_N_System-1&gt;=((ROW(G162)-ROW($G$159))/4+1),IF(SEEDLE_IndexScanner=1,"STD4800","LA2400") &amp; " System"&amp; IF(AND(SEEDLE_ClientWithOrWithoutScanner=2,SEEDLE_N_System&gt;1)," Sans Scanner"," Avec Scanner"),
IF(AND(SEEDLE_N_Software&gt;SEEDLE_N_System,SEEDLE_N_Software-1&gt;=((ROW(G162)-ROW($G$159))/4+1)),IF(N_SystemTotal=0,"Software Only",IF(N_STDScanners+N_LAScanners+N_LCScanners=0,"Software Sans Scanner","Software Avec Scanner")),
IF(SEEDLE_N_UpgradeUpdate-1&gt;=((ROW(G162)-ROW($G$159))/4+1)-(MAX(SEEDLE_N_System,SEEDLE_N_Software)-1),"Update","")))</f>
        <v/>
      </c>
      <c r="K162" s="259"/>
      <c r="L162" s="258"/>
      <c r="M162" s="258"/>
      <c r="N162" s="258"/>
      <c r="O162" s="215"/>
      <c r="P162" s="215"/>
      <c r="Q162" s="215"/>
    </row>
    <row r="163" spans="1:17" ht="24" customHeight="1" x14ac:dyDescent="0.2">
      <c r="A163" s="433" t="s">
        <v>258</v>
      </c>
      <c r="B163" s="287" t="s">
        <v>258</v>
      </c>
      <c r="C163" s="378" t="str">
        <f>IF(AND(QUOTE_Split_SoftwareHardware,QUOTE_InternetDownload),"",
"☐☐ Win" &amp;
IF(INT((ROW(D163)-10)/30)+1=1,"DEN","")&amp;
IF(INT((ROW(D163)-10)/30)+1=2,"CEL","")&amp;
IF(INT((ROW(D163)-10)/30)+1=3,"RHI","")&amp;
IF(INT((ROW(D163)-10)/30)+1=4,"RT","")&amp;
IF(INT((ROW(D163)-10)/30)+1=5,"FOL","")&amp;
IF(INT((ROW(D163)-10)/30)+1=6,"SEE","")&amp;
IF(INT((ROW(D163)-10)/30)+1=7,"CAM","")&amp;
IF(INT((ROW(D163)-10)/30)+1=8,"SCA","") &amp; ".exe")</f>
        <v>☐☐ WinSEE.exe</v>
      </c>
      <c r="D163" s="378" t="str">
        <f>IF(AND(QUOTE_Split_SoftwareHardware,QUOTE_InternetDownload),"",
 IF(N("If it is Cam, Do not Show XL")+AND(ROW(D163)&gt;=189,ROW(D163)&lt;=218),"","☐ XL" &amp;
IF(INT((ROW(D163)-10)/30)+1=1,"STEM","")&amp;
IF(INT((ROW(D163)-10)/30)+1=2,"Cell","")&amp;
IF(INT((ROW(D163)-10)/30)+1=3,"Rhizo","")&amp;
IF(INT((ROW(D163)-10)/30)+1=4,"RhizoT","")&amp;
IF(INT((ROW(D163)-10)/30)+1=5,"Folia","")&amp;
IF(INT((ROW(D163)-10)/30)+1=6,"Seedle","")&amp;
IF(INT((ROW(D163)-10)/30)+1=7,"Cam","")&amp;
IF(INT((ROW(D163)-10)/30)+1=8,"Scanopy","") &amp; ".xls"))</f>
        <v>☐ XLSeedle.xls</v>
      </c>
      <c r="E163" s="378" t="s">
        <v>299</v>
      </c>
      <c r="F163" s="379" t="s">
        <v>152</v>
      </c>
      <c r="G163" s="378" t="str">
        <f xml:space="preserve"> IF(N("If it is Cam, Do not Show XL")+AND(ROW(G163)&gt;=189,ROW(G163)&lt;=218),"","☐ XL Man")</f>
        <v>☐ XL Man</v>
      </c>
      <c r="H163" s="379" t="s">
        <v>280</v>
      </c>
      <c r="I163" s="307" t="s">
        <v>274</v>
      </c>
      <c r="J163" s="379" t="str">
        <f>IF(N("Si OR dessous = vrai, pas de box")+OR(
N("1 OR Tron ou CELL")+OR(AND(ROW(E163)&gt;=39,ROW(E163)&lt;=68),AND(ROW(E163)&gt;=99,ROW(E163)&lt;=128)),
N("2 Pas de système scanopy and range opy")+AND(ROW(E163)&gt;=219,ROW(E163)&lt;=248,SCANOPY_N_System&lt;2),
N("3 Avec LC") + IF(AND(IF(PROD_MostPopularScanner="LC",1,0), NOT(AND(ROW(E163)&gt;=129,ROW(E163)&lt;=158)), NOT(AND(ROW(E163)&gt;=189,ROW(E163)&lt;=218))),1,0)
),"","☐ ")
&amp;
IF(N("If it's OPY, put OMount Manual instead")+
AND(ROW(D163)&gt;=219,ROW(D163)&lt;=248),
IF(SCANOPY_N_System&gt;1,
IF(SCANOPY_IndexScanner=1,"α" &amp; SCANOPY_CameraModel,SCANOPY_CameraModel_Mini) &amp; " Man",""),
IF(N("Empty si OR = true . . .If it is Cell or Tron, Do not Show Scanner related items + Hide if LC is favorite on unavailable product")+OR(
AND(ROW(E163)&gt;=39,ROW(E163)&lt;=68),
AND(ROW(E163)&gt;=99,ROW(E163)&lt;=128),
AND(IF(PROD_MostPopularScanner="LC",1,0), NOT(AND(ROW(E163)&gt;=129,ROW(E163)&lt;=158)), NOT(AND(ROW(E163)&gt;=189,ROW(E163)&lt;=218))),
0=1),
    "", IF(1=N("Si système a un scanner différent du Scanner populaire alors différent, sinon Scanner populaire")+AND(NOT(ISERROR(SEARCH("System",J162))),LEFT(J162,2)&lt;&gt;LEFT(PROD_MostPopularScanner,2)),
LEFT(J162,SEARCH("00",J162)-3),
PROD_MostPopularScanner) &amp; " Install Man"))</f>
        <v>☐ Scan. Install Man</v>
      </c>
      <c r="K163" s="378" t="str">
        <f>IF(N("If it is Cell or Tron or OPY, Do not Show Twain")+OR(AND(ROW(K163)&gt;=39,ROW(K163)&lt;=68),AND(ROW(K163)&gt;=99,ROW(K163)&lt;=128),AND(ROW(J163)&gt;=219,ROW(J163)&lt;=248)),"","☐ TWAIN")</f>
        <v>☐ TWAIN</v>
      </c>
      <c r="L163" s="379" t="str">
        <f>IF(AND(IF(PROD_MostPopularScanner="LC",1,0), NOT(AND(ROW(E163)&gt;=129,ROW(E163)&lt;=158)), NOT(AND(ROW(E163)&gt;=189,ROW(E163)&lt;=218))),"",
IF(N("Si OR dessous = vrai, pas de box")+OR(
N("1 OR Dendro+CELL, Tron+Folia,Cam")+OR(
AND(ROW(K163)&gt;=9,ROW(K163)&lt;=68),
AND(ROW(K163)&gt;=99,ROW(K163)&lt;=158),
AND(ROW(K163)&gt;=189,ROW(K163)&lt;=218)),
N("2 Pas de système scanopy and range opy")+AND(ROW(K163)&gt;=219,ROW(K163)&lt;=248,SCANOPY_N_System&lt;2),
N("3 Avec LC")&amp;IF(ISERROR(LEFT(J162,SEARCH("00",J162)-3)),"",LEFT(J162,SEARCH("00",J162)-3))="LC"),"","☐ ")
&amp;
IF(N("If it's OPY, put OMount Manual instead")+
AND(ROW(J163)&gt;=219,ROW(J163)&lt;=248),
IF(SCANOPY_N_System&gt;1,"OMount Man",""),
IF(N("If it is Dendro+CELL, Tron+Folia or Cam, Do not Show Scanner related items+No Video if LC")+OR(
AND(ROW(K163)&gt;=9,ROW(K163)&lt;=68),
AND(ROW(K163)&gt;=99,ROW(K163)&lt;=158),
AND(ROW(K163)&gt;=189,ROW(K163)&lt;=218),
IF(ISERROR(LEFT(J162,SEARCH("00",J162)-3)),"",LEFT(J162,SEARCH("00",J162)-3))="LC"),
    "", "Video " &amp; IF(1=N("Si système a un scanner différent du Scanner populaire alors différent, sinon Scanner populaire")+AND(NOT(ISERROR(SEARCH("System",J162))),LEFT(J162,2)&lt;&gt;LEFT(PROD_MostPopularScanner,2)),
LEFT(J162,SEARCH("00",J162)-3),
PROD_MostPopularScanner) &amp; " Install"))
)</f>
        <v>☐ Video Scan. Install</v>
      </c>
      <c r="M163" s="378" t="str">
        <f>IF(N("If it is Dendro or Tron, Do not Show Color Analysis Video")+
OR(AND(ROW(L163)&gt;=9,ROW(L163)&lt;=38),
AND(ROW(L163)&gt;=99,ROW(L163)&lt;=128)), "","☐ Video ClrAna")</f>
        <v>☐ Video ClrAna</v>
      </c>
      <c r="N163" s="379" t="str">
        <f>IF(OR(INT((ROW(D163)-10)/30)+1=2,INT((ROW(D163)-10)/30)+1=4),"","☐ ")&amp;
IF(INT((ROW(D163)-10)/30)+1=1,"Scanner.cal","")&amp;
IF(INT((ROW(D163)-10)/30)+1=2,"","")&amp;
IF(INT((ROW(D163)-10)/30)+1=3,"Scanner.cal","")&amp;
IF(INT((ROW(D163)-10)/30)+1=4,"","")&amp;
IF(INT((ROW(D163)-10)/30)+1=5,"Scanner.cal","")&amp;
IF(INT((ROW(D163)-10)/30)+1=6,"Scanner.cal","")&amp;
IF(INT((ROW(D163)-10)/30)+1=7,"Scanner.cal","")&amp;
IF(INT((ROW(D163)-10)/30)+1=8,"Indiv" &amp; " Lens.cal","")</f>
        <v>☐ Scanner.cal</v>
      </c>
      <c r="O163" s="307" t="str">
        <f>IF(AND(ROW(L163)&gt;=9,ROW(L163)&lt;=38),"☐ RegentTarget.blu","")</f>
        <v/>
      </c>
      <c r="P163" s="215"/>
      <c r="Q163" s="215"/>
    </row>
    <row r="164" spans="1:17" ht="24" customHeight="1" x14ac:dyDescent="0.2">
      <c r="A164" s="433" t="s">
        <v>259</v>
      </c>
      <c r="B164" s="224" t="s">
        <v>259</v>
      </c>
      <c r="C164" s="307" t="s">
        <v>152</v>
      </c>
      <c r="D164" s="307" t="str">
        <f xml:space="preserve"> IF(N("If it is Cam, Do not Show XL")+AND(ROW(D164)&gt;=189,ROW(D164)&lt;=218),"","☐ XL Man")</f>
        <v>☐ XL Man</v>
      </c>
      <c r="E164" s="437" t="str">
        <f>IF(N("Si OR dessous = vrai, pas de box")+OR(
N("1 OR Tron ou CELL")+OR(AND(ROW(K163)&gt;=39,ROW(K163)&lt;=68),AND(ROW(K163)&gt;=99,ROW(K163)&lt;=128)),
N("2 Pas de système scanopy and range opy")+AND(ROW(K163)&gt;=219,ROW(K163)&lt;=248,SCANOPY_N_System&lt;2),
N("3 Avec LC")&amp;IF(ISERROR(LEFT(J162,SEARCH("00",J162)-3)),"",LEFT(J162,SEARCH("00",J162)-3))="LC"),"","☐ ")
&amp;
IF(N("If it's OPY, put OMount Manual instead")+
AND(ROW(J163)&gt;=219,ROW(J163)&lt;=248),
IF(SCANOPY_N_System&gt;1,"OMount Man",""),
IF(N("If it is Cell or Tron, Do not Show Scanner related items")+OR(
AND(ROW(K163)&gt;=39,ROW(K163)&lt;=68),
AND(ROW(K163)&gt;=99,ROW(K163)&lt;=128)),
    "", IF(1=N("Si système a un scanner différent du Scanner populaire alors différent, sinon Scanner populaire")+AND(NOT(ISERROR(SEARCH("System",J162))),LEFT(J162,2)&lt;&gt;LEFT(PROD_MostPopularScanner,2)),
LEFT(J162,SEARCH("00",J162)-3),
PROD_MostPopularScanner) &amp; " Install Man"))</f>
        <v>☐ Scan. Install Man</v>
      </c>
      <c r="F164" s="380" t="s">
        <v>275</v>
      </c>
      <c r="G164" s="307" t="s">
        <v>274</v>
      </c>
      <c r="H164" s="439" t="s">
        <v>250</v>
      </c>
      <c r="I164" s="381"/>
      <c r="J164" s="307" t="str">
        <f ca="1">IF(AND(
INDIRECT(
IF(INT((ROW(D164)-10)/30)+1=1,"DENDRO","")&amp;
IF(INT((ROW(D164)-10)/30)+1=2,"CELL","")&amp;
IF(INT((ROW(D164)-10)/30)+1=3,"RHIZO","")&amp;
IF(INT((ROW(D164)-10)/30)+1=4,"RHIZOTRON","")&amp;
IF(INT((ROW(D164)-10)/30)+1=5,"FOLIA","")&amp;
IF(INT((ROW(D164)-10)/30)+1=6,"SEEDLE","")&amp;
IF(INT((ROW(D164)-10)/30)+1=7,"CAM","")&amp;
IF(INT((ROW(D164)-10)/30)+1=8,"SCANOPY","") &amp; "_ChkB_RemoteUpdate"),
INDIRECT(
IF(INT((ROW(D164)-10)/30)+1=1,"DENDRO","")&amp;
IF(INT((ROW(D164)-10)/30)+1=2,"CELL","")&amp;
IF(INT((ROW(D164)-10)/30)+1=3,"RHIZO","")&amp;
IF(INT((ROW(D164)-10)/30)+1=4,"RHIZOTRON","")&amp;
IF(INT((ROW(D164)-10)/30)+1=5,"FOLIA","")&amp;
IF(INT((ROW(D164)-10)/30)+1=6,"SEEDLE","")&amp;
IF(INT((ROW(D164)-10)/30)+1=7,"CAM","")&amp;
IF(INT((ROW(D164)-10)/30)+1=8,"SCANOPY","") &amp; "_ChkBox_UpgradeUpdate")),
"Clé de bois ou Download. Reprogrammation clé client",
"☐ " &amp; IF(AND(QUOTE_Split_SoftwareHardware,QUOTE_InternetDownload),"Man ds env. ""Documents"", Clé ds bulle collée sur env.","Reliée au Man"))</f>
        <v>☐ Reliée au Man</v>
      </c>
      <c r="K164" s="265"/>
      <c r="L164" s="223"/>
      <c r="M164" s="439"/>
      <c r="N164" s="380"/>
      <c r="O164" s="307"/>
      <c r="P164" s="215"/>
      <c r="Q164" s="215"/>
    </row>
    <row r="165" spans="1:17" ht="16.25" customHeight="1" x14ac:dyDescent="0.2">
      <c r="A165" s="420"/>
      <c r="B165" s="295"/>
      <c r="C165" s="886" t="str">
        <f>IF((SEEDLE_N_UpgradeUpdate + SEEDLE_N_Software ) = 2,"",LEFT(INDEX(SEEDLE_SoftwareFullNames,SEEDLE_IndexSoftware),FIND(" ",INDEX(SEEDLE_SoftwareFullNames,SEEDLE_IndexSoftware),FIND(" ",INDEX(SEEDLE_SoftwareFullNames,SEEDLE_IndexSoftware))+1)) &amp;
SEEDLE_YearMostRecent )</f>
        <v/>
      </c>
      <c r="D165" s="886"/>
      <c r="E165" s="303"/>
      <c r="F165" s="303"/>
      <c r="G165" s="274" t="str">
        <f>IF(SEEDLE_OptionXL*(SEEDLE_N_Software+SEEDLE_N_UpgradeUpdate-2)&gt;=((ROW(G165)-ROW($G$159))/4+1),"XLSEEDLE "&amp; SEEDLE_YearMostRecent,"")</f>
        <v/>
      </c>
      <c r="H165" s="259"/>
      <c r="I165" s="259"/>
      <c r="J165" s="274" t="str">
        <f>IF(SEEDLE_N_System-1&gt;=((ROW(G165)-ROW($G$159))/4+1),IF(SEEDLE_IndexScanner=1,"STD4800","LA2400") &amp; " System"&amp; IF(AND(SEEDLE_ClientWithOrWithoutScanner=2,SEEDLE_N_System&gt;1)," Sans Scanner"," Avec Scanner"),
IF(AND(SEEDLE_N_Software&gt;SEEDLE_N_System,SEEDLE_N_Software-1&gt;=((ROW(G165)-ROW($G$159))/4+1)),IF(N_SystemTotal=0,"Software Only",IF(N_STDScanners+N_LAScanners+N_LCScanners=0,"Software Sans Scanner","Software Avec Scanner")),
IF(SEEDLE_N_UpgradeUpdate-1&gt;=((ROW(G165)-ROW($G$159))/4+1)-(MAX(SEEDLE_N_System,SEEDLE_N_Software)-1),"Update","")))</f>
        <v/>
      </c>
      <c r="K165" s="259"/>
      <c r="L165" s="258"/>
      <c r="M165" s="258"/>
      <c r="N165" s="258"/>
      <c r="O165" s="215"/>
      <c r="P165" s="215"/>
      <c r="Q165" s="215"/>
    </row>
    <row r="166" spans="1:17" ht="24" customHeight="1" x14ac:dyDescent="0.2">
      <c r="A166" s="433" t="s">
        <v>258</v>
      </c>
      <c r="B166" s="287" t="s">
        <v>258</v>
      </c>
      <c r="C166" s="378" t="str">
        <f>IF(AND(QUOTE_Split_SoftwareHardware,QUOTE_InternetDownload),"",
"☐☐ Win" &amp;
IF(INT((ROW(D166)-10)/30)+1=1,"DEN","")&amp;
IF(INT((ROW(D166)-10)/30)+1=2,"CEL","")&amp;
IF(INT((ROW(D166)-10)/30)+1=3,"RHI","")&amp;
IF(INT((ROW(D166)-10)/30)+1=4,"RT","")&amp;
IF(INT((ROW(D166)-10)/30)+1=5,"FOL","")&amp;
IF(INT((ROW(D166)-10)/30)+1=6,"SEE","")&amp;
IF(INT((ROW(D166)-10)/30)+1=7,"CAM","")&amp;
IF(INT((ROW(D166)-10)/30)+1=8,"SCA","") &amp; ".exe")</f>
        <v>☐☐ WinSEE.exe</v>
      </c>
      <c r="D166" s="378" t="str">
        <f>IF(AND(QUOTE_Split_SoftwareHardware,QUOTE_InternetDownload),"",
 IF(N("If it is Cam, Do not Show XL")+AND(ROW(D166)&gt;=189,ROW(D166)&lt;=218),"","☐ XL" &amp;
IF(INT((ROW(D166)-10)/30)+1=1,"STEM","")&amp;
IF(INT((ROW(D166)-10)/30)+1=2,"Cell","")&amp;
IF(INT((ROW(D166)-10)/30)+1=3,"Rhizo","")&amp;
IF(INT((ROW(D166)-10)/30)+1=4,"RhizoT","")&amp;
IF(INT((ROW(D166)-10)/30)+1=5,"Folia","")&amp;
IF(INT((ROW(D166)-10)/30)+1=6,"Seedle","")&amp;
IF(INT((ROW(D166)-10)/30)+1=7,"Cam","")&amp;
IF(INT((ROW(D166)-10)/30)+1=8,"Scanopy","") &amp; ".xls"))</f>
        <v>☐ XLSeedle.xls</v>
      </c>
      <c r="E166" s="378" t="s">
        <v>299</v>
      </c>
      <c r="F166" s="379" t="s">
        <v>152</v>
      </c>
      <c r="G166" s="378" t="str">
        <f xml:space="preserve"> IF(N("If it is Cam, Do not Show XL")+AND(ROW(G166)&gt;=189,ROW(G166)&lt;=218),"","☐ XL Man")</f>
        <v>☐ XL Man</v>
      </c>
      <c r="H166" s="379" t="s">
        <v>280</v>
      </c>
      <c r="I166" s="307" t="s">
        <v>274</v>
      </c>
      <c r="J166" s="379" t="str">
        <f>IF(N("Si OR dessous = vrai, pas de box")+OR(
N("1 OR Tron ou CELL")+OR(AND(ROW(E166)&gt;=39,ROW(E166)&lt;=68),AND(ROW(E166)&gt;=99,ROW(E166)&lt;=128)),
N("2 Pas de système scanopy and range opy")+AND(ROW(E166)&gt;=219,ROW(E166)&lt;=248,SCANOPY_N_System&lt;2),
N("3 Avec LC") + IF(AND(IF(PROD_MostPopularScanner="LC",1,0), NOT(AND(ROW(E166)&gt;=129,ROW(E166)&lt;=158)), NOT(AND(ROW(E166)&gt;=189,ROW(E166)&lt;=218))),1,0)
),"","☐ ")
&amp;
IF(N("If it's OPY, put OMount Manual instead")+
AND(ROW(D166)&gt;=219,ROW(D166)&lt;=248),
IF(SCANOPY_N_System&gt;1,
IF(SCANOPY_IndexScanner=1,"α" &amp; SCANOPY_CameraModel,SCANOPY_CameraModel_Mini) &amp; " Man",""),
IF(N("Empty si OR = true . . .If it is Cell or Tron, Do not Show Scanner related items + Hide if LC is favorite on unavailable product")+OR(
AND(ROW(E166)&gt;=39,ROW(E166)&lt;=68),
AND(ROW(E166)&gt;=99,ROW(E166)&lt;=128),
AND(IF(PROD_MostPopularScanner="LC",1,0), NOT(AND(ROW(E166)&gt;=129,ROW(E166)&lt;=158)), NOT(AND(ROW(E166)&gt;=189,ROW(E166)&lt;=218))),
0=1),
    "", IF(1=N("Si système a un scanner différent du Scanner populaire alors différent, sinon Scanner populaire")+AND(NOT(ISERROR(SEARCH("System",J165))),LEFT(J165,2)&lt;&gt;LEFT(PROD_MostPopularScanner,2)),
LEFT(J165,SEARCH("00",J165)-3),
PROD_MostPopularScanner) &amp; " Install Man"))</f>
        <v>☐ Scan. Install Man</v>
      </c>
      <c r="K166" s="378" t="str">
        <f>IF(N("If it is Cell or Tron or OPY, Do not Show Twain")+OR(AND(ROW(K166)&gt;=39,ROW(K166)&lt;=68),AND(ROW(K166)&gt;=99,ROW(K166)&lt;=128),AND(ROW(J166)&gt;=219,ROW(J166)&lt;=248)),"","☐ TWAIN")</f>
        <v>☐ TWAIN</v>
      </c>
      <c r="L166" s="379" t="str">
        <f>IF(AND(IF(PROD_MostPopularScanner="LC",1,0), NOT(AND(ROW(E166)&gt;=129,ROW(E166)&lt;=158)), NOT(AND(ROW(E166)&gt;=189,ROW(E166)&lt;=218))),"",
IF(N("Si OR dessous = vrai, pas de box")+OR(
N("1 OR Dendro+CELL, Tron+Folia,Cam")+OR(
AND(ROW(K166)&gt;=9,ROW(K166)&lt;=68),
AND(ROW(K166)&gt;=99,ROW(K166)&lt;=158),
AND(ROW(K166)&gt;=189,ROW(K166)&lt;=218)),
N("2 Pas de système scanopy and range opy")+AND(ROW(K166)&gt;=219,ROW(K166)&lt;=248,SCANOPY_N_System&lt;2),
N("3 Avec LC")&amp;IF(ISERROR(LEFT(J165,SEARCH("00",J165)-3)),"",LEFT(J165,SEARCH("00",J165)-3))="LC"),"","☐ ")
&amp;
IF(N("If it's OPY, put OMount Manual instead")+
AND(ROW(J166)&gt;=219,ROW(J166)&lt;=248),
IF(SCANOPY_N_System&gt;1,"OMount Man",""),
IF(N("If it is Dendro+CELL, Tron+Folia or Cam, Do not Show Scanner related items+No Video if LC")+OR(
AND(ROW(K166)&gt;=9,ROW(K166)&lt;=68),
AND(ROW(K166)&gt;=99,ROW(K166)&lt;=158),
AND(ROW(K166)&gt;=189,ROW(K166)&lt;=218),
IF(ISERROR(LEFT(J165,SEARCH("00",J165)-3)),"",LEFT(J165,SEARCH("00",J165)-3))="LC"),
    "", "Video " &amp; IF(1=N("Si système a un scanner différent du Scanner populaire alors différent, sinon Scanner populaire")+AND(NOT(ISERROR(SEARCH("System",J165))),LEFT(J165,2)&lt;&gt;LEFT(PROD_MostPopularScanner,2)),
LEFT(J165,SEARCH("00",J165)-3),
PROD_MostPopularScanner) &amp; " Install"))
)</f>
        <v>☐ Video Scan. Install</v>
      </c>
      <c r="M166" s="378" t="str">
        <f>IF(N("If it is Dendro or Tron, Do not Show Color Analysis Video")+
OR(AND(ROW(L166)&gt;=9,ROW(L166)&lt;=38),
AND(ROW(L166)&gt;=99,ROW(L166)&lt;=128)), "","☐ Video ClrAna")</f>
        <v>☐ Video ClrAna</v>
      </c>
      <c r="N166" s="379" t="str">
        <f>IF(OR(INT((ROW(D166)-10)/30)+1=2,INT((ROW(D166)-10)/30)+1=4),"","☐ ")&amp;
IF(INT((ROW(D166)-10)/30)+1=1,"Scanner.cal","")&amp;
IF(INT((ROW(D166)-10)/30)+1=2,"","")&amp;
IF(INT((ROW(D166)-10)/30)+1=3,"Scanner.cal","")&amp;
IF(INT((ROW(D166)-10)/30)+1=4,"","")&amp;
IF(INT((ROW(D166)-10)/30)+1=5,"Scanner.cal","")&amp;
IF(INT((ROW(D166)-10)/30)+1=6,"Scanner.cal","")&amp;
IF(INT((ROW(D166)-10)/30)+1=7,"Scanner.cal","")&amp;
IF(INT((ROW(D166)-10)/30)+1=8,"Indiv" &amp; " Lens.cal","")</f>
        <v>☐ Scanner.cal</v>
      </c>
      <c r="O166" s="307" t="str">
        <f>IF(AND(ROW(L166)&gt;=9,ROW(L166)&lt;=38),"☐ RegentTarget.blu","")</f>
        <v/>
      </c>
      <c r="P166" s="215"/>
      <c r="Q166" s="215"/>
    </row>
    <row r="167" spans="1:17" ht="24" customHeight="1" x14ac:dyDescent="0.2">
      <c r="A167" s="433" t="s">
        <v>259</v>
      </c>
      <c r="B167" s="224" t="s">
        <v>259</v>
      </c>
      <c r="C167" s="307" t="s">
        <v>152</v>
      </c>
      <c r="D167" s="307" t="str">
        <f xml:space="preserve"> IF(N("If it is Cam, Do not Show XL")+AND(ROW(D167)&gt;=189,ROW(D167)&lt;=218),"","☐ XL Man")</f>
        <v>☐ XL Man</v>
      </c>
      <c r="E167" s="437" t="str">
        <f>IF(N("Si OR dessous = vrai, pas de box")+OR(
N("1 OR Tron ou CELL")+OR(AND(ROW(K166)&gt;=39,ROW(K166)&lt;=68),AND(ROW(K166)&gt;=99,ROW(K166)&lt;=128)),
N("2 Pas de système scanopy and range opy")+AND(ROW(K166)&gt;=219,ROW(K166)&lt;=248,SCANOPY_N_System&lt;2),
N("3 Avec LC")&amp;IF(ISERROR(LEFT(J165,SEARCH("00",J165)-3)),"",LEFT(J165,SEARCH("00",J165)-3))="LC"),"","☐ ")
&amp;
IF(N("If it's OPY, put OMount Manual instead")+
AND(ROW(J166)&gt;=219,ROW(J166)&lt;=248),
IF(SCANOPY_N_System&gt;1,"OMount Man",""),
IF(N("If it is Cell or Tron, Do not Show Scanner related items")+OR(
AND(ROW(K166)&gt;=39,ROW(K166)&lt;=68),
AND(ROW(K166)&gt;=99,ROW(K166)&lt;=128)),
    "", IF(1=N("Si système a un scanner différent du Scanner populaire alors différent, sinon Scanner populaire")+AND(NOT(ISERROR(SEARCH("System",J165))),LEFT(J165,2)&lt;&gt;LEFT(PROD_MostPopularScanner,2)),
LEFT(J165,SEARCH("00",J165)-3),
PROD_MostPopularScanner) &amp; " Install Man"))</f>
        <v>☐ Scan. Install Man</v>
      </c>
      <c r="F167" s="380" t="s">
        <v>275</v>
      </c>
      <c r="G167" s="307" t="s">
        <v>274</v>
      </c>
      <c r="H167" s="439" t="s">
        <v>250</v>
      </c>
      <c r="I167" s="381"/>
      <c r="J167" s="307" t="str">
        <f ca="1">IF(AND(
INDIRECT(
IF(INT((ROW(D167)-10)/30)+1=1,"DENDRO","")&amp;
IF(INT((ROW(D167)-10)/30)+1=2,"CELL","")&amp;
IF(INT((ROW(D167)-10)/30)+1=3,"RHIZO","")&amp;
IF(INT((ROW(D167)-10)/30)+1=4,"RHIZOTRON","")&amp;
IF(INT((ROW(D167)-10)/30)+1=5,"FOLIA","")&amp;
IF(INT((ROW(D167)-10)/30)+1=6,"SEEDLE","")&amp;
IF(INT((ROW(D167)-10)/30)+1=7,"CAM","")&amp;
IF(INT((ROW(D167)-10)/30)+1=8,"SCANOPY","") &amp; "_ChkB_RemoteUpdate"),
INDIRECT(
IF(INT((ROW(D167)-10)/30)+1=1,"DENDRO","")&amp;
IF(INT((ROW(D167)-10)/30)+1=2,"CELL","")&amp;
IF(INT((ROW(D167)-10)/30)+1=3,"RHIZO","")&amp;
IF(INT((ROW(D167)-10)/30)+1=4,"RHIZOTRON","")&amp;
IF(INT((ROW(D167)-10)/30)+1=5,"FOLIA","")&amp;
IF(INT((ROW(D167)-10)/30)+1=6,"SEEDLE","")&amp;
IF(INT((ROW(D167)-10)/30)+1=7,"CAM","")&amp;
IF(INT((ROW(D167)-10)/30)+1=8,"SCANOPY","") &amp; "_ChkBox_UpgradeUpdate")),
"Clé de bois ou Download. Reprogrammation clé client",
"☐ " &amp; IF(AND(QUOTE_Split_SoftwareHardware,QUOTE_InternetDownload),"Man ds env. ""Documents"", Clé ds bulle collée sur env.","Reliée au Man"))</f>
        <v>☐ Reliée au Man</v>
      </c>
      <c r="K167" s="265"/>
      <c r="L167" s="223"/>
      <c r="M167" s="439"/>
      <c r="N167" s="380"/>
      <c r="O167" s="307"/>
      <c r="P167" s="215"/>
      <c r="Q167" s="215"/>
    </row>
    <row r="168" spans="1:17" ht="16.25" customHeight="1" x14ac:dyDescent="0.2">
      <c r="A168" s="420"/>
      <c r="B168" s="295"/>
      <c r="C168" s="886" t="str">
        <f>IF((SEEDLE_N_UpgradeUpdate + SEEDLE_N_Software ) = 2,"",LEFT(INDEX(SEEDLE_SoftwareFullNames,SEEDLE_IndexSoftware),FIND(" ",INDEX(SEEDLE_SoftwareFullNames,SEEDLE_IndexSoftware),FIND(" ",INDEX(SEEDLE_SoftwareFullNames,SEEDLE_IndexSoftware))+1)) &amp;
SEEDLE_YearMostRecent )</f>
        <v/>
      </c>
      <c r="D168" s="886"/>
      <c r="E168" s="303"/>
      <c r="F168" s="303"/>
      <c r="G168" s="274" t="str">
        <f>IF(SEEDLE_OptionXL*(SEEDLE_N_Software+SEEDLE_N_UpgradeUpdate-2)&gt;=((ROW(G168)-ROW($G$159))/4+1),"XLSEEDLE "&amp; SEEDLE_YearMostRecent,"")</f>
        <v/>
      </c>
      <c r="H168" s="259"/>
      <c r="I168" s="259"/>
      <c r="J168" s="274" t="str">
        <f>IF(SEEDLE_N_System-1&gt;=((ROW(G168)-ROW($G$159))/4+1),IF(SEEDLE_IndexScanner=1,"STD4800","LA2400") &amp; " System"&amp; IF(AND(SEEDLE_ClientWithOrWithoutScanner=2,SEEDLE_N_System&gt;1)," Sans Scanner"," Avec Scanner"),
IF(AND(SEEDLE_N_Software&gt;SEEDLE_N_System,SEEDLE_N_Software-1&gt;=((ROW(G168)-ROW($G$159))/4+1)),IF(N_SystemTotal=0,"Software Only",IF(N_STDScanners+N_LAScanners+N_LCScanners=0,"Software Sans Scanner","Software Avec Scanner")),
IF(SEEDLE_N_UpgradeUpdate-1&gt;=((ROW(G168)-ROW($G$159))/4+1)-(MAX(SEEDLE_N_System,SEEDLE_N_Software)-1),"Update","")))</f>
        <v/>
      </c>
      <c r="K168" s="259"/>
      <c r="L168" s="258"/>
      <c r="M168" s="258"/>
      <c r="N168" s="258"/>
      <c r="O168" s="215"/>
      <c r="P168" s="215"/>
      <c r="Q168" s="215"/>
    </row>
    <row r="169" spans="1:17" ht="24" customHeight="1" x14ac:dyDescent="0.2">
      <c r="A169" s="433" t="s">
        <v>258</v>
      </c>
      <c r="B169" s="287" t="s">
        <v>258</v>
      </c>
      <c r="C169" s="378" t="str">
        <f>IF(AND(QUOTE_Split_SoftwareHardware,QUOTE_InternetDownload),"",
"☐☐ Win" &amp;
IF(INT((ROW(D169)-10)/30)+1=1,"DEN","")&amp;
IF(INT((ROW(D169)-10)/30)+1=2,"CEL","")&amp;
IF(INT((ROW(D169)-10)/30)+1=3,"RHI","")&amp;
IF(INT((ROW(D169)-10)/30)+1=4,"RT","")&amp;
IF(INT((ROW(D169)-10)/30)+1=5,"FOL","")&amp;
IF(INT((ROW(D169)-10)/30)+1=6,"SEE","")&amp;
IF(INT((ROW(D169)-10)/30)+1=7,"CAM","")&amp;
IF(INT((ROW(D169)-10)/30)+1=8,"SCA","") &amp; ".exe")</f>
        <v>☐☐ WinSEE.exe</v>
      </c>
      <c r="D169" s="378" t="str">
        <f>IF(AND(QUOTE_Split_SoftwareHardware,QUOTE_InternetDownload),"",
 IF(N("If it is Cam, Do not Show XL")+AND(ROW(D169)&gt;=189,ROW(D169)&lt;=218),"","☐ XL" &amp;
IF(INT((ROW(D169)-10)/30)+1=1,"STEM","")&amp;
IF(INT((ROW(D169)-10)/30)+1=2,"Cell","")&amp;
IF(INT((ROW(D169)-10)/30)+1=3,"Rhizo","")&amp;
IF(INT((ROW(D169)-10)/30)+1=4,"RhizoT","")&amp;
IF(INT((ROW(D169)-10)/30)+1=5,"Folia","")&amp;
IF(INT((ROW(D169)-10)/30)+1=6,"Seedle","")&amp;
IF(INT((ROW(D169)-10)/30)+1=7,"Cam","")&amp;
IF(INT((ROW(D169)-10)/30)+1=8,"Scanopy","") &amp; ".xls"))</f>
        <v>☐ XLSeedle.xls</v>
      </c>
      <c r="E169" s="378" t="s">
        <v>299</v>
      </c>
      <c r="F169" s="379" t="s">
        <v>152</v>
      </c>
      <c r="G169" s="378" t="str">
        <f xml:space="preserve"> IF(N("If it is Cam, Do not Show XL")+AND(ROW(G169)&gt;=189,ROW(G169)&lt;=218),"","☐ XL Man")</f>
        <v>☐ XL Man</v>
      </c>
      <c r="H169" s="379" t="s">
        <v>280</v>
      </c>
      <c r="I169" s="307" t="s">
        <v>274</v>
      </c>
      <c r="J169" s="379" t="str">
        <f>IF(N("Si OR dessous = vrai, pas de box")+OR(
N("1 OR Tron ou CELL")+OR(AND(ROW(E169)&gt;=39,ROW(E169)&lt;=68),AND(ROW(E169)&gt;=99,ROW(E169)&lt;=128)),
N("2 Pas de système scanopy and range opy")+AND(ROW(E169)&gt;=219,ROW(E169)&lt;=248,SCANOPY_N_System&lt;2),
N("3 Avec LC") + IF(AND(IF(PROD_MostPopularScanner="LC",1,0), NOT(AND(ROW(E169)&gt;=129,ROW(E169)&lt;=158)), NOT(AND(ROW(E169)&gt;=189,ROW(E169)&lt;=218))),1,0)
),"","☐ ")
&amp;
IF(N("If it's OPY, put OMount Manual instead")+
AND(ROW(D169)&gt;=219,ROW(D169)&lt;=248),
IF(SCANOPY_N_System&gt;1,
IF(SCANOPY_IndexScanner=1,"α" &amp; SCANOPY_CameraModel,SCANOPY_CameraModel_Mini) &amp; " Man",""),
IF(N("Empty si OR = true . . .If it is Cell or Tron, Do not Show Scanner related items + Hide if LC is favorite on unavailable product")+OR(
AND(ROW(E169)&gt;=39,ROW(E169)&lt;=68),
AND(ROW(E169)&gt;=99,ROW(E169)&lt;=128),
AND(IF(PROD_MostPopularScanner="LC",1,0), NOT(AND(ROW(E169)&gt;=129,ROW(E169)&lt;=158)), NOT(AND(ROW(E169)&gt;=189,ROW(E169)&lt;=218))),
0=1),
    "", IF(1=N("Si système a un scanner différent du Scanner populaire alors différent, sinon Scanner populaire")+AND(NOT(ISERROR(SEARCH("System",J168))),LEFT(J168,2)&lt;&gt;LEFT(PROD_MostPopularScanner,2)),
LEFT(J168,SEARCH("00",J168)-3),
PROD_MostPopularScanner) &amp; " Install Man"))</f>
        <v>☐ Scan. Install Man</v>
      </c>
      <c r="K169" s="378" t="str">
        <f>IF(N("If it is Cell or Tron or OPY, Do not Show Twain")+OR(AND(ROW(K169)&gt;=39,ROW(K169)&lt;=68),AND(ROW(K169)&gt;=99,ROW(K169)&lt;=128),AND(ROW(J169)&gt;=219,ROW(J169)&lt;=248)),"","☐ TWAIN")</f>
        <v>☐ TWAIN</v>
      </c>
      <c r="L169" s="379" t="str">
        <f>IF(AND(IF(PROD_MostPopularScanner="LC",1,0), NOT(AND(ROW(E169)&gt;=129,ROW(E169)&lt;=158)), NOT(AND(ROW(E169)&gt;=189,ROW(E169)&lt;=218))),"",
IF(N("Si OR dessous = vrai, pas de box")+OR(
N("1 OR Dendro+CELL, Tron+Folia,Cam")+OR(
AND(ROW(K169)&gt;=9,ROW(K169)&lt;=68),
AND(ROW(K169)&gt;=99,ROW(K169)&lt;=158),
AND(ROW(K169)&gt;=189,ROW(K169)&lt;=218)),
N("2 Pas de système scanopy and range opy")+AND(ROW(K169)&gt;=219,ROW(K169)&lt;=248,SCANOPY_N_System&lt;2),
N("3 Avec LC")&amp;IF(ISERROR(LEFT(J168,SEARCH("00",J168)-3)),"",LEFT(J168,SEARCH("00",J168)-3))="LC"),"","☐ ")
&amp;
IF(N("If it's OPY, put OMount Manual instead")+
AND(ROW(J169)&gt;=219,ROW(J169)&lt;=248),
IF(SCANOPY_N_System&gt;1,"OMount Man",""),
IF(N("If it is Dendro+CELL, Tron+Folia or Cam, Do not Show Scanner related items+No Video if LC")+OR(
AND(ROW(K169)&gt;=9,ROW(K169)&lt;=68),
AND(ROW(K169)&gt;=99,ROW(K169)&lt;=158),
AND(ROW(K169)&gt;=189,ROW(K169)&lt;=218),
IF(ISERROR(LEFT(J168,SEARCH("00",J168)-3)),"",LEFT(J168,SEARCH("00",J168)-3))="LC"),
    "", "Video " &amp; IF(1=N("Si système a un scanner différent du Scanner populaire alors différent, sinon Scanner populaire")+AND(NOT(ISERROR(SEARCH("System",J168))),LEFT(J168,2)&lt;&gt;LEFT(PROD_MostPopularScanner,2)),
LEFT(J168,SEARCH("00",J168)-3),
PROD_MostPopularScanner) &amp; " Install"))
)</f>
        <v>☐ Video Scan. Install</v>
      </c>
      <c r="M169" s="378" t="str">
        <f>IF(N("If it is Dendro or Tron, Do not Show Color Analysis Video")+
OR(AND(ROW(L169)&gt;=9,ROW(L169)&lt;=38),
AND(ROW(L169)&gt;=99,ROW(L169)&lt;=128)), "","☐ Video ClrAna")</f>
        <v>☐ Video ClrAna</v>
      </c>
      <c r="N169" s="379" t="str">
        <f>IF(OR(INT((ROW(D169)-10)/30)+1=2,INT((ROW(D169)-10)/30)+1=4),"","☐ ")&amp;
IF(INT((ROW(D169)-10)/30)+1=1,"Scanner.cal","")&amp;
IF(INT((ROW(D169)-10)/30)+1=2,"","")&amp;
IF(INT((ROW(D169)-10)/30)+1=3,"Scanner.cal","")&amp;
IF(INT((ROW(D169)-10)/30)+1=4,"","")&amp;
IF(INT((ROW(D169)-10)/30)+1=5,"Scanner.cal","")&amp;
IF(INT((ROW(D169)-10)/30)+1=6,"Scanner.cal","")&amp;
IF(INT((ROW(D169)-10)/30)+1=7,"Scanner.cal","")&amp;
IF(INT((ROW(D169)-10)/30)+1=8,"Indiv" &amp; " Lens.cal","")</f>
        <v>☐ Scanner.cal</v>
      </c>
      <c r="O169" s="307" t="str">
        <f>IF(AND(ROW(L169)&gt;=9,ROW(L169)&lt;=38),"☐ RegentTarget.blu","")</f>
        <v/>
      </c>
      <c r="P169" s="215"/>
      <c r="Q169" s="215"/>
    </row>
    <row r="170" spans="1:17" ht="24" customHeight="1" x14ac:dyDescent="0.2">
      <c r="A170" s="433" t="s">
        <v>259</v>
      </c>
      <c r="B170" s="224" t="s">
        <v>259</v>
      </c>
      <c r="C170" s="307" t="s">
        <v>152</v>
      </c>
      <c r="D170" s="307" t="str">
        <f xml:space="preserve"> IF(N("If it is Cam, Do not Show XL")+AND(ROW(D170)&gt;=189,ROW(D170)&lt;=218),"","☐ XL Man")</f>
        <v>☐ XL Man</v>
      </c>
      <c r="E170" s="437" t="str">
        <f>IF(N("Si OR dessous = vrai, pas de box")+OR(
N("1 OR Tron ou CELL")+OR(AND(ROW(K169)&gt;=39,ROW(K169)&lt;=68),AND(ROW(K169)&gt;=99,ROW(K169)&lt;=128)),
N("2 Pas de système scanopy and range opy")+AND(ROW(K169)&gt;=219,ROW(K169)&lt;=248,SCANOPY_N_System&lt;2),
N("3 Avec LC")&amp;IF(ISERROR(LEFT(J168,SEARCH("00",J168)-3)),"",LEFT(J168,SEARCH("00",J168)-3))="LC"),"","☐ ")
&amp;
IF(N("If it's OPY, put OMount Manual instead")+
AND(ROW(J169)&gt;=219,ROW(J169)&lt;=248),
IF(SCANOPY_N_System&gt;1,"OMount Man",""),
IF(N("If it is Cell or Tron, Do not Show Scanner related items")+OR(
AND(ROW(K169)&gt;=39,ROW(K169)&lt;=68),
AND(ROW(K169)&gt;=99,ROW(K169)&lt;=128)),
    "", IF(1=N("Si système a un scanner différent du Scanner populaire alors différent, sinon Scanner populaire")+AND(NOT(ISERROR(SEARCH("System",J168))),LEFT(J168,2)&lt;&gt;LEFT(PROD_MostPopularScanner,2)),
LEFT(J168,SEARCH("00",J168)-3),
PROD_MostPopularScanner) &amp; " Install Man"))</f>
        <v>☐ Scan. Install Man</v>
      </c>
      <c r="F170" s="380" t="s">
        <v>275</v>
      </c>
      <c r="G170" s="307" t="s">
        <v>274</v>
      </c>
      <c r="H170" s="439" t="s">
        <v>250</v>
      </c>
      <c r="I170" s="381"/>
      <c r="J170" s="307" t="str">
        <f ca="1">IF(AND(
INDIRECT(
IF(INT((ROW(D170)-10)/30)+1=1,"DENDRO","")&amp;
IF(INT((ROW(D170)-10)/30)+1=2,"CELL","")&amp;
IF(INT((ROW(D170)-10)/30)+1=3,"RHIZO","")&amp;
IF(INT((ROW(D170)-10)/30)+1=4,"RHIZOTRON","")&amp;
IF(INT((ROW(D170)-10)/30)+1=5,"FOLIA","")&amp;
IF(INT((ROW(D170)-10)/30)+1=6,"SEEDLE","")&amp;
IF(INT((ROW(D170)-10)/30)+1=7,"CAM","")&amp;
IF(INT((ROW(D170)-10)/30)+1=8,"SCANOPY","") &amp; "_ChkB_RemoteUpdate"),
INDIRECT(
IF(INT((ROW(D170)-10)/30)+1=1,"DENDRO","")&amp;
IF(INT((ROW(D170)-10)/30)+1=2,"CELL","")&amp;
IF(INT((ROW(D170)-10)/30)+1=3,"RHIZO","")&amp;
IF(INT((ROW(D170)-10)/30)+1=4,"RHIZOTRON","")&amp;
IF(INT((ROW(D170)-10)/30)+1=5,"FOLIA","")&amp;
IF(INT((ROW(D170)-10)/30)+1=6,"SEEDLE","")&amp;
IF(INT((ROW(D170)-10)/30)+1=7,"CAM","")&amp;
IF(INT((ROW(D170)-10)/30)+1=8,"SCANOPY","") &amp; "_ChkBox_UpgradeUpdate")),
"Clé de bois ou Download. Reprogrammation clé client",
"☐ " &amp; IF(AND(QUOTE_Split_SoftwareHardware,QUOTE_InternetDownload),"Man ds env. ""Documents"", Clé ds bulle collée sur env.","Reliée au Man"))</f>
        <v>☐ Reliée au Man</v>
      </c>
      <c r="K170" s="265"/>
      <c r="L170" s="223"/>
      <c r="M170" s="439"/>
      <c r="N170" s="380"/>
      <c r="O170" s="307"/>
      <c r="P170" s="215"/>
      <c r="Q170" s="215"/>
    </row>
    <row r="171" spans="1:17" ht="16.25" customHeight="1" x14ac:dyDescent="0.2">
      <c r="A171" s="420"/>
      <c r="B171" s="295"/>
      <c r="C171" s="886" t="str">
        <f>IF((SEEDLE_N_UpgradeUpdate + SEEDLE_N_Software ) = 2,"",LEFT(INDEX(SEEDLE_SoftwareFullNames,SEEDLE_IndexSoftware),FIND(" ",INDEX(SEEDLE_SoftwareFullNames,SEEDLE_IndexSoftware),FIND(" ",INDEX(SEEDLE_SoftwareFullNames,SEEDLE_IndexSoftware))+1)) &amp;
SEEDLE_YearMostRecent )</f>
        <v/>
      </c>
      <c r="D171" s="886"/>
      <c r="E171" s="303"/>
      <c r="F171" s="303"/>
      <c r="G171" s="274" t="str">
        <f>IF(SEEDLE_OptionXL*(SEEDLE_N_Software+SEEDLE_N_UpgradeUpdate-2)&gt;=((ROW(G171)-ROW($G$159))/4+1),"XLSEEDLE "&amp; SEEDLE_YearMostRecent,"")</f>
        <v/>
      </c>
      <c r="H171" s="259"/>
      <c r="I171" s="259"/>
      <c r="J171" s="274" t="str">
        <f>IF(SEEDLE_N_System-1&gt;=((ROW(G171)-ROW($G$159))/4+1),IF(SEEDLE_IndexScanner=1,"STD4800","LA2400") &amp; " System"&amp; IF(AND(SEEDLE_ClientWithOrWithoutScanner=2,SEEDLE_N_System&gt;1)," Sans Scanner"," Avec Scanner"),
IF(AND(SEEDLE_N_Software&gt;SEEDLE_N_System,SEEDLE_N_Software-1&gt;=((ROW(G171)-ROW($G$159))/4+1)),IF(N_SystemTotal=0,"Software Only",IF(N_STDScanners+N_LAScanners+N_LCScanners=0,"Software Sans Scanner","Software Avec Scanner")),
IF(SEEDLE_N_UpgradeUpdate-1&gt;=((ROW(G171)-ROW($G$159))/4+1)-(MAX(SEEDLE_N_System,SEEDLE_N_Software)-1),"Update","")))</f>
        <v/>
      </c>
      <c r="K171" s="259"/>
      <c r="L171" s="258"/>
      <c r="M171" s="258"/>
      <c r="N171" s="258"/>
      <c r="O171" s="215"/>
      <c r="P171" s="215"/>
      <c r="Q171" s="215"/>
    </row>
    <row r="172" spans="1:17" ht="24" customHeight="1" x14ac:dyDescent="0.2">
      <c r="A172" s="433" t="s">
        <v>258</v>
      </c>
      <c r="B172" s="287" t="s">
        <v>258</v>
      </c>
      <c r="C172" s="378" t="str">
        <f>IF(AND(QUOTE_Split_SoftwareHardware,QUOTE_InternetDownload),"",
"☐☐ Win" &amp;
IF(INT((ROW(D172)-10)/30)+1=1,"DEN","")&amp;
IF(INT((ROW(D172)-10)/30)+1=2,"CEL","")&amp;
IF(INT((ROW(D172)-10)/30)+1=3,"RHI","")&amp;
IF(INT((ROW(D172)-10)/30)+1=4,"RT","")&amp;
IF(INT((ROW(D172)-10)/30)+1=5,"FOL","")&amp;
IF(INT((ROW(D172)-10)/30)+1=6,"SEE","")&amp;
IF(INT((ROW(D172)-10)/30)+1=7,"CAM","")&amp;
IF(INT((ROW(D172)-10)/30)+1=8,"SCA","") &amp; ".exe")</f>
        <v>☐☐ WinSEE.exe</v>
      </c>
      <c r="D172" s="378" t="str">
        <f>IF(AND(QUOTE_Split_SoftwareHardware,QUOTE_InternetDownload),"",
 IF(N("If it is Cam, Do not Show XL")+AND(ROW(D172)&gt;=189,ROW(D172)&lt;=218),"","☐ XL" &amp;
IF(INT((ROW(D172)-10)/30)+1=1,"STEM","")&amp;
IF(INT((ROW(D172)-10)/30)+1=2,"Cell","")&amp;
IF(INT((ROW(D172)-10)/30)+1=3,"Rhizo","")&amp;
IF(INT((ROW(D172)-10)/30)+1=4,"RhizoT","")&amp;
IF(INT((ROW(D172)-10)/30)+1=5,"Folia","")&amp;
IF(INT((ROW(D172)-10)/30)+1=6,"Seedle","")&amp;
IF(INT((ROW(D172)-10)/30)+1=7,"Cam","")&amp;
IF(INT((ROW(D172)-10)/30)+1=8,"Scanopy","") &amp; ".xls"))</f>
        <v>☐ XLSeedle.xls</v>
      </c>
      <c r="E172" s="378" t="s">
        <v>299</v>
      </c>
      <c r="F172" s="379" t="s">
        <v>152</v>
      </c>
      <c r="G172" s="378" t="str">
        <f xml:space="preserve"> IF(N("If it is Cam, Do not Show XL")+AND(ROW(G172)&gt;=189,ROW(G172)&lt;=218),"","☐ XL Man")</f>
        <v>☐ XL Man</v>
      </c>
      <c r="H172" s="379" t="s">
        <v>280</v>
      </c>
      <c r="I172" s="307" t="s">
        <v>274</v>
      </c>
      <c r="J172" s="379" t="str">
        <f>IF(N("Si OR dessous = vrai, pas de box")+OR(
N("1 OR Tron ou CELL")+OR(AND(ROW(E172)&gt;=39,ROW(E172)&lt;=68),AND(ROW(E172)&gt;=99,ROW(E172)&lt;=128)),
N("2 Pas de système scanopy and range opy")+AND(ROW(E172)&gt;=219,ROW(E172)&lt;=248,SCANOPY_N_System&lt;2),
N("3 Avec LC") + IF(AND(IF(PROD_MostPopularScanner="LC",1,0), NOT(AND(ROW(E172)&gt;=129,ROW(E172)&lt;=158)), NOT(AND(ROW(E172)&gt;=189,ROW(E172)&lt;=218))),1,0)
),"","☐ ")
&amp;
IF(N("If it's OPY, put OMount Manual instead")+
AND(ROW(D172)&gt;=219,ROW(D172)&lt;=248),
IF(SCANOPY_N_System&gt;1,
IF(SCANOPY_IndexScanner=1,"α" &amp; SCANOPY_CameraModel,SCANOPY_CameraModel_Mini) &amp; " Man",""),
IF(N("Empty si OR = true . . .If it is Cell or Tron, Do not Show Scanner related items + Hide if LC is favorite on unavailable product")+OR(
AND(ROW(E172)&gt;=39,ROW(E172)&lt;=68),
AND(ROW(E172)&gt;=99,ROW(E172)&lt;=128),
AND(IF(PROD_MostPopularScanner="LC",1,0), NOT(AND(ROW(E172)&gt;=129,ROW(E172)&lt;=158)), NOT(AND(ROW(E172)&gt;=189,ROW(E172)&lt;=218))),
0=1),
    "", IF(1=N("Si système a un scanner différent du Scanner populaire alors différent, sinon Scanner populaire")+AND(NOT(ISERROR(SEARCH("System",J171))),LEFT(J171,2)&lt;&gt;LEFT(PROD_MostPopularScanner,2)),
LEFT(J171,SEARCH("00",J171)-3),
PROD_MostPopularScanner) &amp; " Install Man"))</f>
        <v>☐ Scan. Install Man</v>
      </c>
      <c r="K172" s="378" t="str">
        <f>IF(N("If it is Cell or Tron or OPY, Do not Show Twain")+OR(AND(ROW(K172)&gt;=39,ROW(K172)&lt;=68),AND(ROW(K172)&gt;=99,ROW(K172)&lt;=128),AND(ROW(J172)&gt;=219,ROW(J172)&lt;=248)),"","☐ TWAIN")</f>
        <v>☐ TWAIN</v>
      </c>
      <c r="L172" s="379" t="str">
        <f>IF(AND(IF(PROD_MostPopularScanner="LC",1,0), NOT(AND(ROW(E172)&gt;=129,ROW(E172)&lt;=158)), NOT(AND(ROW(E172)&gt;=189,ROW(E172)&lt;=218))),"",
IF(N("Si OR dessous = vrai, pas de box")+OR(
N("1 OR Dendro+CELL, Tron+Folia,Cam")+OR(
AND(ROW(K172)&gt;=9,ROW(K172)&lt;=68),
AND(ROW(K172)&gt;=99,ROW(K172)&lt;=158),
AND(ROW(K172)&gt;=189,ROW(K172)&lt;=218)),
N("2 Pas de système scanopy and range opy")+AND(ROW(K172)&gt;=219,ROW(K172)&lt;=248,SCANOPY_N_System&lt;2),
N("3 Avec LC")&amp;IF(ISERROR(LEFT(J171,SEARCH("00",J171)-3)),"",LEFT(J171,SEARCH("00",J171)-3))="LC"),"","☐ ")
&amp;
IF(N("If it's OPY, put OMount Manual instead")+
AND(ROW(J172)&gt;=219,ROW(J172)&lt;=248),
IF(SCANOPY_N_System&gt;1,"OMount Man",""),
IF(N("If it is Dendro+CELL, Tron+Folia or Cam, Do not Show Scanner related items+No Video if LC")+OR(
AND(ROW(K172)&gt;=9,ROW(K172)&lt;=68),
AND(ROW(K172)&gt;=99,ROW(K172)&lt;=158),
AND(ROW(K172)&gt;=189,ROW(K172)&lt;=218),
IF(ISERROR(LEFT(J171,SEARCH("00",J171)-3)),"",LEFT(J171,SEARCH("00",J171)-3))="LC"),
    "", "Video " &amp; IF(1=N("Si système a un scanner différent du Scanner populaire alors différent, sinon Scanner populaire")+AND(NOT(ISERROR(SEARCH("System",J171))),LEFT(J171,2)&lt;&gt;LEFT(PROD_MostPopularScanner,2)),
LEFT(J171,SEARCH("00",J171)-3),
PROD_MostPopularScanner) &amp; " Install"))
)</f>
        <v>☐ Video Scan. Install</v>
      </c>
      <c r="M172" s="378" t="str">
        <f>IF(N("If it is Dendro or Tron, Do not Show Color Analysis Video")+
OR(AND(ROW(L172)&gt;=9,ROW(L172)&lt;=38),
AND(ROW(L172)&gt;=99,ROW(L172)&lt;=128)), "","☐ Video ClrAna")</f>
        <v>☐ Video ClrAna</v>
      </c>
      <c r="N172" s="379" t="str">
        <f>IF(OR(INT((ROW(D172)-10)/30)+1=2,INT((ROW(D172)-10)/30)+1=4),"","☐ ")&amp;
IF(INT((ROW(D172)-10)/30)+1=1,"Scanner.cal","")&amp;
IF(INT((ROW(D172)-10)/30)+1=2,"","")&amp;
IF(INT((ROW(D172)-10)/30)+1=3,"Scanner.cal","")&amp;
IF(INT((ROW(D172)-10)/30)+1=4,"","")&amp;
IF(INT((ROW(D172)-10)/30)+1=5,"Scanner.cal","")&amp;
IF(INT((ROW(D172)-10)/30)+1=6,"Scanner.cal","")&amp;
IF(INT((ROW(D172)-10)/30)+1=7,"Scanner.cal","")&amp;
IF(INT((ROW(D172)-10)/30)+1=8,"Indiv" &amp; " Lens.cal","")</f>
        <v>☐ Scanner.cal</v>
      </c>
      <c r="O172" s="307" t="str">
        <f>IF(AND(ROW(L172)&gt;=9,ROW(L172)&lt;=38),"☐ RegentTarget.blu","")</f>
        <v/>
      </c>
      <c r="P172" s="215"/>
      <c r="Q172" s="215"/>
    </row>
    <row r="173" spans="1:17" ht="24" customHeight="1" x14ac:dyDescent="0.2">
      <c r="A173" s="433" t="s">
        <v>259</v>
      </c>
      <c r="B173" s="224" t="s">
        <v>259</v>
      </c>
      <c r="C173" s="307" t="s">
        <v>152</v>
      </c>
      <c r="D173" s="307" t="str">
        <f xml:space="preserve"> IF(N("If it is Cam, Do not Show XL")+AND(ROW(D173)&gt;=189,ROW(D173)&lt;=218),"","☐ XL Man")</f>
        <v>☐ XL Man</v>
      </c>
      <c r="E173" s="437" t="str">
        <f>IF(N("Si OR dessous = vrai, pas de box")+OR(
N("1 OR Tron ou CELL")+OR(AND(ROW(K172)&gt;=39,ROW(K172)&lt;=68),AND(ROW(K172)&gt;=99,ROW(K172)&lt;=128)),
N("2 Pas de système scanopy and range opy")+AND(ROW(K172)&gt;=219,ROW(K172)&lt;=248,SCANOPY_N_System&lt;2),
N("3 Avec LC")&amp;IF(ISERROR(LEFT(J171,SEARCH("00",J171)-3)),"",LEFT(J171,SEARCH("00",J171)-3))="LC"),"","☐ ")
&amp;
IF(N("If it's OPY, put OMount Manual instead")+
AND(ROW(J172)&gt;=219,ROW(J172)&lt;=248),
IF(SCANOPY_N_System&gt;1,"OMount Man",""),
IF(N("If it is Cell or Tron, Do not Show Scanner related items")+OR(
AND(ROW(K172)&gt;=39,ROW(K172)&lt;=68),
AND(ROW(K172)&gt;=99,ROW(K172)&lt;=128)),
    "", IF(1=N("Si système a un scanner différent du Scanner populaire alors différent, sinon Scanner populaire")+AND(NOT(ISERROR(SEARCH("System",J171))),LEFT(J171,2)&lt;&gt;LEFT(PROD_MostPopularScanner,2)),
LEFT(J171,SEARCH("00",J171)-3),
PROD_MostPopularScanner) &amp; " Install Man"))</f>
        <v>☐ Scan. Install Man</v>
      </c>
      <c r="F173" s="380" t="s">
        <v>275</v>
      </c>
      <c r="G173" s="307" t="s">
        <v>274</v>
      </c>
      <c r="H173" s="439" t="s">
        <v>250</v>
      </c>
      <c r="I173" s="381"/>
      <c r="J173" s="307" t="str">
        <f ca="1">IF(AND(
INDIRECT(
IF(INT((ROW(D173)-10)/30)+1=1,"DENDRO","")&amp;
IF(INT((ROW(D173)-10)/30)+1=2,"CELL","")&amp;
IF(INT((ROW(D173)-10)/30)+1=3,"RHIZO","")&amp;
IF(INT((ROW(D173)-10)/30)+1=4,"RHIZOTRON","")&amp;
IF(INT((ROW(D173)-10)/30)+1=5,"FOLIA","")&amp;
IF(INT((ROW(D173)-10)/30)+1=6,"SEEDLE","")&amp;
IF(INT((ROW(D173)-10)/30)+1=7,"CAM","")&amp;
IF(INT((ROW(D173)-10)/30)+1=8,"SCANOPY","") &amp; "_ChkB_RemoteUpdate"),
INDIRECT(
IF(INT((ROW(D173)-10)/30)+1=1,"DENDRO","")&amp;
IF(INT((ROW(D173)-10)/30)+1=2,"CELL","")&amp;
IF(INT((ROW(D173)-10)/30)+1=3,"RHIZO","")&amp;
IF(INT((ROW(D173)-10)/30)+1=4,"RHIZOTRON","")&amp;
IF(INT((ROW(D173)-10)/30)+1=5,"FOLIA","")&amp;
IF(INT((ROW(D173)-10)/30)+1=6,"SEEDLE","")&amp;
IF(INT((ROW(D173)-10)/30)+1=7,"CAM","")&amp;
IF(INT((ROW(D173)-10)/30)+1=8,"SCANOPY","") &amp; "_ChkBox_UpgradeUpdate")),
"Clé de bois ou Download. Reprogrammation clé client",
"☐ " &amp; IF(AND(QUOTE_Split_SoftwareHardware,QUOTE_InternetDownload),"Man ds env. ""Documents"", Clé ds bulle collée sur env.","Reliée au Man"))</f>
        <v>☐ Reliée au Man</v>
      </c>
      <c r="K173" s="265"/>
      <c r="L173" s="223"/>
      <c r="M173" s="439"/>
      <c r="N173" s="380"/>
      <c r="O173" s="307"/>
      <c r="P173" s="215"/>
      <c r="Q173" s="215"/>
    </row>
    <row r="174" spans="1:17" ht="16.25" customHeight="1" x14ac:dyDescent="0.2">
      <c r="A174" s="420"/>
      <c r="B174" s="295"/>
      <c r="C174" s="886" t="str">
        <f>IF((SEEDLE_N_UpgradeUpdate + SEEDLE_N_Software ) = 2,"",LEFT(INDEX(SEEDLE_SoftwareFullNames,SEEDLE_IndexSoftware),FIND(" ",INDEX(SEEDLE_SoftwareFullNames,SEEDLE_IndexSoftware),FIND(" ",INDEX(SEEDLE_SoftwareFullNames,SEEDLE_IndexSoftware))+1)) &amp;
SEEDLE_YearMostRecent )</f>
        <v/>
      </c>
      <c r="D174" s="886"/>
      <c r="E174" s="303"/>
      <c r="F174" s="303"/>
      <c r="G174" s="274" t="str">
        <f>IF(SEEDLE_OptionXL*(SEEDLE_N_Software+SEEDLE_N_UpgradeUpdate-2)&gt;=((ROW(G174)-ROW($G$159))/4+1),"XLSEEDLE "&amp; SEEDLE_YearMostRecent,"")</f>
        <v/>
      </c>
      <c r="H174" s="259"/>
      <c r="I174" s="259"/>
      <c r="J174" s="274" t="str">
        <f>IF(SEEDLE_N_System-1&gt;=((ROW(G174)-ROW($G$159))/4+1),IF(SEEDLE_IndexScanner=1,"STD4800","LA2400") &amp; " System"&amp; IF(AND(SEEDLE_ClientWithOrWithoutScanner=2,SEEDLE_N_System&gt;1)," Sans Scanner"," Avec Scanner"),
IF(AND(SEEDLE_N_Software&gt;SEEDLE_N_System,SEEDLE_N_Software-1&gt;=((ROW(G174)-ROW($G$159))/4+1)),IF(N_SystemTotal=0,"Software Only",IF(N_STDScanners+N_LAScanners+N_LCScanners=0,"Software Sans Scanner","Software Avec Scanner")),
IF(SEEDLE_N_UpgradeUpdate-1&gt;=((ROW(G174)-ROW($G$159))/4+1)-(MAX(SEEDLE_N_System,SEEDLE_N_Software)-1),"Update","")))</f>
        <v/>
      </c>
      <c r="K174" s="259"/>
      <c r="L174" s="258"/>
      <c r="M174" s="258"/>
      <c r="N174" s="258"/>
      <c r="O174" s="215"/>
      <c r="P174" s="215"/>
      <c r="Q174" s="215"/>
    </row>
    <row r="175" spans="1:17" ht="24" customHeight="1" x14ac:dyDescent="0.2">
      <c r="A175" s="433" t="s">
        <v>258</v>
      </c>
      <c r="B175" s="287" t="s">
        <v>258</v>
      </c>
      <c r="C175" s="378" t="str">
        <f>IF(AND(QUOTE_Split_SoftwareHardware,QUOTE_InternetDownload),"",
"☐☐ Win" &amp;
IF(INT((ROW(D175)-10)/30)+1=1,"DEN","")&amp;
IF(INT((ROW(D175)-10)/30)+1=2,"CEL","")&amp;
IF(INT((ROW(D175)-10)/30)+1=3,"RHI","")&amp;
IF(INT((ROW(D175)-10)/30)+1=4,"RT","")&amp;
IF(INT((ROW(D175)-10)/30)+1=5,"FOL","")&amp;
IF(INT((ROW(D175)-10)/30)+1=6,"SEE","")&amp;
IF(INT((ROW(D175)-10)/30)+1=7,"CAM","")&amp;
IF(INT((ROW(D175)-10)/30)+1=8,"SCA","") &amp; ".exe")</f>
        <v>☐☐ WinSEE.exe</v>
      </c>
      <c r="D175" s="378" t="str">
        <f>IF(AND(QUOTE_Split_SoftwareHardware,QUOTE_InternetDownload),"",
 IF(N("If it is Cam, Do not Show XL")+AND(ROW(D175)&gt;=189,ROW(D175)&lt;=218),"","☐ XL" &amp;
IF(INT((ROW(D175)-10)/30)+1=1,"STEM","")&amp;
IF(INT((ROW(D175)-10)/30)+1=2,"Cell","")&amp;
IF(INT((ROW(D175)-10)/30)+1=3,"Rhizo","")&amp;
IF(INT((ROW(D175)-10)/30)+1=4,"RhizoT","")&amp;
IF(INT((ROW(D175)-10)/30)+1=5,"Folia","")&amp;
IF(INT((ROW(D175)-10)/30)+1=6,"Seedle","")&amp;
IF(INT((ROW(D175)-10)/30)+1=7,"Cam","")&amp;
IF(INT((ROW(D175)-10)/30)+1=8,"Scanopy","") &amp; ".xls"))</f>
        <v>☐ XLSeedle.xls</v>
      </c>
      <c r="E175" s="378" t="s">
        <v>299</v>
      </c>
      <c r="F175" s="379" t="s">
        <v>152</v>
      </c>
      <c r="G175" s="378" t="str">
        <f xml:space="preserve"> IF(N("If it is Cam, Do not Show XL")+AND(ROW(G175)&gt;=189,ROW(G175)&lt;=218),"","☐ XL Man")</f>
        <v>☐ XL Man</v>
      </c>
      <c r="H175" s="379" t="s">
        <v>280</v>
      </c>
      <c r="I175" s="307" t="s">
        <v>274</v>
      </c>
      <c r="J175" s="379" t="str">
        <f>IF(N("Si OR dessous = vrai, pas de box")+OR(
N("1 OR Tron ou CELL")+OR(AND(ROW(E175)&gt;=39,ROW(E175)&lt;=68),AND(ROW(E175)&gt;=99,ROW(E175)&lt;=128)),
N("2 Pas de système scanopy and range opy")+AND(ROW(E175)&gt;=219,ROW(E175)&lt;=248,SCANOPY_N_System&lt;2),
N("3 Avec LC") + IF(AND(IF(PROD_MostPopularScanner="LC",1,0), NOT(AND(ROW(E175)&gt;=129,ROW(E175)&lt;=158)), NOT(AND(ROW(E175)&gt;=189,ROW(E175)&lt;=218))),1,0)
),"","☐ ")
&amp;
IF(N("If it's OPY, put OMount Manual instead")+
AND(ROW(D175)&gt;=219,ROW(D175)&lt;=248),
IF(SCANOPY_N_System&gt;1,
IF(SCANOPY_IndexScanner=1,"α" &amp; SCANOPY_CameraModel,SCANOPY_CameraModel_Mini) &amp; " Man",""),
IF(N("Empty si OR = true . . .If it is Cell or Tron, Do not Show Scanner related items + Hide if LC is favorite on unavailable product")+OR(
AND(ROW(E175)&gt;=39,ROW(E175)&lt;=68),
AND(ROW(E175)&gt;=99,ROW(E175)&lt;=128),
AND(IF(PROD_MostPopularScanner="LC",1,0), NOT(AND(ROW(E175)&gt;=129,ROW(E175)&lt;=158)), NOT(AND(ROW(E175)&gt;=189,ROW(E175)&lt;=218))),
0=1),
    "", IF(1=N("Si système a un scanner différent du Scanner populaire alors différent, sinon Scanner populaire")+AND(NOT(ISERROR(SEARCH("System",J174))),LEFT(J174,2)&lt;&gt;LEFT(PROD_MostPopularScanner,2)),
LEFT(J174,SEARCH("00",J174)-3),
PROD_MostPopularScanner) &amp; " Install Man"))</f>
        <v>☐ Scan. Install Man</v>
      </c>
      <c r="K175" s="378" t="str">
        <f>IF(N("If it is Cell or Tron or OPY, Do not Show Twain")+OR(AND(ROW(K175)&gt;=39,ROW(K175)&lt;=68),AND(ROW(K175)&gt;=99,ROW(K175)&lt;=128),AND(ROW(J175)&gt;=219,ROW(J175)&lt;=248)),"","☐ TWAIN")</f>
        <v>☐ TWAIN</v>
      </c>
      <c r="L175" s="379" t="str">
        <f>IF(AND(IF(PROD_MostPopularScanner="LC",1,0), NOT(AND(ROW(E175)&gt;=129,ROW(E175)&lt;=158)), NOT(AND(ROW(E175)&gt;=189,ROW(E175)&lt;=218))),"",
IF(N("Si OR dessous = vrai, pas de box")+OR(
N("1 OR Dendro+CELL, Tron+Folia,Cam")+OR(
AND(ROW(K175)&gt;=9,ROW(K175)&lt;=68),
AND(ROW(K175)&gt;=99,ROW(K175)&lt;=158),
AND(ROW(K175)&gt;=189,ROW(K175)&lt;=218)),
N("2 Pas de système scanopy and range opy")+AND(ROW(K175)&gt;=219,ROW(K175)&lt;=248,SCANOPY_N_System&lt;2),
N("3 Avec LC")&amp;IF(ISERROR(LEFT(J174,SEARCH("00",J174)-3)),"",LEFT(J174,SEARCH("00",J174)-3))="LC"),"","☐ ")
&amp;
IF(N("If it's OPY, put OMount Manual instead")+
AND(ROW(J175)&gt;=219,ROW(J175)&lt;=248),
IF(SCANOPY_N_System&gt;1,"OMount Man",""),
IF(N("If it is Dendro+CELL, Tron+Folia or Cam, Do not Show Scanner related items+No Video if LC")+OR(
AND(ROW(K175)&gt;=9,ROW(K175)&lt;=68),
AND(ROW(K175)&gt;=99,ROW(K175)&lt;=158),
AND(ROW(K175)&gt;=189,ROW(K175)&lt;=218),
IF(ISERROR(LEFT(J174,SEARCH("00",J174)-3)),"",LEFT(J174,SEARCH("00",J174)-3))="LC"),
    "", "Video " &amp; IF(1=N("Si système a un scanner différent du Scanner populaire alors différent, sinon Scanner populaire")+AND(NOT(ISERROR(SEARCH("System",J174))),LEFT(J174,2)&lt;&gt;LEFT(PROD_MostPopularScanner,2)),
LEFT(J174,SEARCH("00",J174)-3),
PROD_MostPopularScanner) &amp; " Install"))
)</f>
        <v>☐ Video Scan. Install</v>
      </c>
      <c r="M175" s="378" t="str">
        <f>IF(N("If it is Dendro or Tron, Do not Show Color Analysis Video")+
OR(AND(ROW(L175)&gt;=9,ROW(L175)&lt;=38),
AND(ROW(L175)&gt;=99,ROW(L175)&lt;=128)), "","☐ Video ClrAna")</f>
        <v>☐ Video ClrAna</v>
      </c>
      <c r="N175" s="379" t="str">
        <f>IF(OR(INT((ROW(D175)-10)/30)+1=2,INT((ROW(D175)-10)/30)+1=4),"","☐ ")&amp;
IF(INT((ROW(D175)-10)/30)+1=1,"Scanner.cal","")&amp;
IF(INT((ROW(D175)-10)/30)+1=2,"","")&amp;
IF(INT((ROW(D175)-10)/30)+1=3,"Scanner.cal","")&amp;
IF(INT((ROW(D175)-10)/30)+1=4,"","")&amp;
IF(INT((ROW(D175)-10)/30)+1=5,"Scanner.cal","")&amp;
IF(INT((ROW(D175)-10)/30)+1=6,"Scanner.cal","")&amp;
IF(INT((ROW(D175)-10)/30)+1=7,"Scanner.cal","")&amp;
IF(INT((ROW(D175)-10)/30)+1=8,"Indiv" &amp; " Lens.cal","")</f>
        <v>☐ Scanner.cal</v>
      </c>
      <c r="O175" s="307" t="str">
        <f>IF(AND(ROW(L175)&gt;=9,ROW(L175)&lt;=38),"☐ RegentTarget.blu","")</f>
        <v/>
      </c>
      <c r="P175" s="215"/>
      <c r="Q175" s="215"/>
    </row>
    <row r="176" spans="1:17" ht="24" customHeight="1" x14ac:dyDescent="0.2">
      <c r="A176" s="433" t="s">
        <v>259</v>
      </c>
      <c r="B176" s="224" t="s">
        <v>259</v>
      </c>
      <c r="C176" s="307" t="s">
        <v>152</v>
      </c>
      <c r="D176" s="307" t="str">
        <f xml:space="preserve"> IF(N("If it is Cam, Do not Show XL")+AND(ROW(D176)&gt;=189,ROW(D176)&lt;=218),"","☐ XL Man")</f>
        <v>☐ XL Man</v>
      </c>
      <c r="E176" s="437" t="str">
        <f>IF(N("Si OR dessous = vrai, pas de box")+OR(
N("1 OR Tron ou CELL")+OR(AND(ROW(K175)&gt;=39,ROW(K175)&lt;=68),AND(ROW(K175)&gt;=99,ROW(K175)&lt;=128)),
N("2 Pas de système scanopy and range opy")+AND(ROW(K175)&gt;=219,ROW(K175)&lt;=248,SCANOPY_N_System&lt;2),
N("3 Avec LC")&amp;IF(ISERROR(LEFT(J174,SEARCH("00",J174)-3)),"",LEFT(J174,SEARCH("00",J174)-3))="LC"),"","☐ ")
&amp;
IF(N("If it's OPY, put OMount Manual instead")+
AND(ROW(J175)&gt;=219,ROW(J175)&lt;=248),
IF(SCANOPY_N_System&gt;1,"OMount Man",""),
IF(N("If it is Cell or Tron, Do not Show Scanner related items")+OR(
AND(ROW(K175)&gt;=39,ROW(K175)&lt;=68),
AND(ROW(K175)&gt;=99,ROW(K175)&lt;=128)),
    "", IF(1=N("Si système a un scanner différent du Scanner populaire alors différent, sinon Scanner populaire")+AND(NOT(ISERROR(SEARCH("System",J174))),LEFT(J174,2)&lt;&gt;LEFT(PROD_MostPopularScanner,2)),
LEFT(J174,SEARCH("00",J174)-3),
PROD_MostPopularScanner) &amp; " Install Man"))</f>
        <v>☐ Scan. Install Man</v>
      </c>
      <c r="F176" s="380" t="s">
        <v>275</v>
      </c>
      <c r="G176" s="307" t="s">
        <v>274</v>
      </c>
      <c r="H176" s="439" t="s">
        <v>250</v>
      </c>
      <c r="I176" s="381"/>
      <c r="J176" s="307" t="str">
        <f ca="1">IF(AND(
INDIRECT(
IF(INT((ROW(D176)-10)/30)+1=1,"DENDRO","")&amp;
IF(INT((ROW(D176)-10)/30)+1=2,"CELL","")&amp;
IF(INT((ROW(D176)-10)/30)+1=3,"RHIZO","")&amp;
IF(INT((ROW(D176)-10)/30)+1=4,"RHIZOTRON","")&amp;
IF(INT((ROW(D176)-10)/30)+1=5,"FOLIA","")&amp;
IF(INT((ROW(D176)-10)/30)+1=6,"SEEDLE","")&amp;
IF(INT((ROW(D176)-10)/30)+1=7,"CAM","")&amp;
IF(INT((ROW(D176)-10)/30)+1=8,"SCANOPY","") &amp; "_ChkB_RemoteUpdate"),
INDIRECT(
IF(INT((ROW(D176)-10)/30)+1=1,"DENDRO","")&amp;
IF(INT((ROW(D176)-10)/30)+1=2,"CELL","")&amp;
IF(INT((ROW(D176)-10)/30)+1=3,"RHIZO","")&amp;
IF(INT((ROW(D176)-10)/30)+1=4,"RHIZOTRON","")&amp;
IF(INT((ROW(D176)-10)/30)+1=5,"FOLIA","")&amp;
IF(INT((ROW(D176)-10)/30)+1=6,"SEEDLE","")&amp;
IF(INT((ROW(D176)-10)/30)+1=7,"CAM","")&amp;
IF(INT((ROW(D176)-10)/30)+1=8,"SCANOPY","") &amp; "_ChkBox_UpgradeUpdate")),
"Clé de bois ou Download. Reprogrammation clé client",
"☐ " &amp; IF(AND(QUOTE_Split_SoftwareHardware,QUOTE_InternetDownload),"Man ds env. ""Documents"", Clé ds bulle collée sur env.","Reliée au Man"))</f>
        <v>☐ Reliée au Man</v>
      </c>
      <c r="K176" s="265"/>
      <c r="L176" s="223"/>
      <c r="M176" s="439"/>
      <c r="N176" s="380"/>
      <c r="O176" s="307"/>
      <c r="P176" s="215"/>
      <c r="Q176" s="215"/>
    </row>
    <row r="177" spans="1:17" ht="16.25" customHeight="1" x14ac:dyDescent="0.2">
      <c r="A177" s="420"/>
      <c r="B177" s="295"/>
      <c r="C177" s="886" t="str">
        <f>IF((SEEDLE_N_UpgradeUpdate + SEEDLE_N_Software ) = 2,"",LEFT(INDEX(SEEDLE_SoftwareFullNames,SEEDLE_IndexSoftware),FIND(" ",INDEX(SEEDLE_SoftwareFullNames,SEEDLE_IndexSoftware),FIND(" ",INDEX(SEEDLE_SoftwareFullNames,SEEDLE_IndexSoftware))+1)) &amp;
SEEDLE_YearMostRecent )</f>
        <v/>
      </c>
      <c r="D177" s="886"/>
      <c r="E177" s="303"/>
      <c r="F177" s="303"/>
      <c r="G177" s="274" t="str">
        <f>IF(SEEDLE_OptionXL*(SEEDLE_N_Software+SEEDLE_N_UpgradeUpdate-2)&gt;=((ROW(G177)-ROW($G$159))/4+1),"XLSEEDLE "&amp; SEEDLE_YearMostRecent,"")</f>
        <v/>
      </c>
      <c r="H177" s="259"/>
      <c r="I177" s="259"/>
      <c r="J177" s="274" t="str">
        <f>IF(SEEDLE_N_System-1&gt;=((ROW(G177)-ROW($G$159))/4+1),IF(SEEDLE_IndexScanner=1,"STD4800","LA2400") &amp; " System"&amp; IF(AND(SEEDLE_ClientWithOrWithoutScanner=2,SEEDLE_N_System&gt;1)," Sans Scanner"," Avec Scanner"),
IF(AND(SEEDLE_N_Software&gt;SEEDLE_N_System,SEEDLE_N_Software-1&gt;=((ROW(G177)-ROW($G$159))/4+1)),IF(N_SystemTotal=0,"Software Only",IF(N_STDScanners+N_LAScanners+N_LCScanners=0,"Software Sans Scanner","Software Avec Scanner")),
IF(SEEDLE_N_UpgradeUpdate-1&gt;=((ROW(G177)-ROW($G$159))/4+1)-(MAX(SEEDLE_N_System,SEEDLE_N_Software)-1),"Update","")))</f>
        <v/>
      </c>
      <c r="K177" s="259"/>
      <c r="L177" s="258"/>
      <c r="M177" s="258"/>
      <c r="N177" s="258"/>
      <c r="O177" s="215"/>
      <c r="P177" s="215"/>
      <c r="Q177" s="215"/>
    </row>
    <row r="178" spans="1:17" ht="24" customHeight="1" x14ac:dyDescent="0.2">
      <c r="A178" s="433" t="s">
        <v>258</v>
      </c>
      <c r="B178" s="287" t="s">
        <v>258</v>
      </c>
      <c r="C178" s="378" t="str">
        <f>IF(AND(QUOTE_Split_SoftwareHardware,QUOTE_InternetDownload),"",
"☐☐ Win" &amp;
IF(INT((ROW(D178)-10)/30)+1=1,"DEN","")&amp;
IF(INT((ROW(D178)-10)/30)+1=2,"CEL","")&amp;
IF(INT((ROW(D178)-10)/30)+1=3,"RHI","")&amp;
IF(INT((ROW(D178)-10)/30)+1=4,"RT","")&amp;
IF(INT((ROW(D178)-10)/30)+1=5,"FOL","")&amp;
IF(INT((ROW(D178)-10)/30)+1=6,"SEE","")&amp;
IF(INT((ROW(D178)-10)/30)+1=7,"CAM","")&amp;
IF(INT((ROW(D178)-10)/30)+1=8,"SCA","") &amp; ".exe")</f>
        <v>☐☐ WinSEE.exe</v>
      </c>
      <c r="D178" s="378" t="str">
        <f>IF(AND(QUOTE_Split_SoftwareHardware,QUOTE_InternetDownload),"",
 IF(N("If it is Cam, Do not Show XL")+AND(ROW(D178)&gt;=189,ROW(D178)&lt;=218),"","☐ XL" &amp;
IF(INT((ROW(D178)-10)/30)+1=1,"STEM","")&amp;
IF(INT((ROW(D178)-10)/30)+1=2,"Cell","")&amp;
IF(INT((ROW(D178)-10)/30)+1=3,"Rhizo","")&amp;
IF(INT((ROW(D178)-10)/30)+1=4,"RhizoT","")&amp;
IF(INT((ROW(D178)-10)/30)+1=5,"Folia","")&amp;
IF(INT((ROW(D178)-10)/30)+1=6,"Seedle","")&amp;
IF(INT((ROW(D178)-10)/30)+1=7,"Cam","")&amp;
IF(INT((ROW(D178)-10)/30)+1=8,"Scanopy","") &amp; ".xls"))</f>
        <v>☐ XLSeedle.xls</v>
      </c>
      <c r="E178" s="378" t="s">
        <v>299</v>
      </c>
      <c r="F178" s="379" t="s">
        <v>152</v>
      </c>
      <c r="G178" s="378" t="str">
        <f xml:space="preserve"> IF(N("If it is Cam, Do not Show XL")+AND(ROW(G178)&gt;=189,ROW(G178)&lt;=218),"","☐ XL Man")</f>
        <v>☐ XL Man</v>
      </c>
      <c r="H178" s="379" t="s">
        <v>280</v>
      </c>
      <c r="I178" s="307" t="s">
        <v>274</v>
      </c>
      <c r="J178" s="379" t="str">
        <f>IF(N("Si OR dessous = vrai, pas de box")+OR(
N("1 OR Tron ou CELL")+OR(AND(ROW(E178)&gt;=39,ROW(E178)&lt;=68),AND(ROW(E178)&gt;=99,ROW(E178)&lt;=128)),
N("2 Pas de système scanopy and range opy")+AND(ROW(E178)&gt;=219,ROW(E178)&lt;=248,SCANOPY_N_System&lt;2),
N("3 Avec LC") + IF(AND(IF(PROD_MostPopularScanner="LC",1,0), NOT(AND(ROW(E178)&gt;=129,ROW(E178)&lt;=158)), NOT(AND(ROW(E178)&gt;=189,ROW(E178)&lt;=218))),1,0)
),"","☐ ")
&amp;
IF(N("If it's OPY, put OMount Manual instead")+
AND(ROW(D178)&gt;=219,ROW(D178)&lt;=248),
IF(SCANOPY_N_System&gt;1,
IF(SCANOPY_IndexScanner=1,"α" &amp; SCANOPY_CameraModel,SCANOPY_CameraModel_Mini) &amp; " Man",""),
IF(N("Empty si OR = true . . .If it is Cell or Tron, Do not Show Scanner related items + Hide if LC is favorite on unavailable product")+OR(
AND(ROW(E178)&gt;=39,ROW(E178)&lt;=68),
AND(ROW(E178)&gt;=99,ROW(E178)&lt;=128),
AND(IF(PROD_MostPopularScanner="LC",1,0), NOT(AND(ROW(E178)&gt;=129,ROW(E178)&lt;=158)), NOT(AND(ROW(E178)&gt;=189,ROW(E178)&lt;=218))),
0=1),
    "", IF(1=N("Si système a un scanner différent du Scanner populaire alors différent, sinon Scanner populaire")+AND(NOT(ISERROR(SEARCH("System",J177))),LEFT(J177,2)&lt;&gt;LEFT(PROD_MostPopularScanner,2)),
LEFT(J177,SEARCH("00",J177)-3),
PROD_MostPopularScanner) &amp; " Install Man"))</f>
        <v>☐ Scan. Install Man</v>
      </c>
      <c r="K178" s="378" t="str">
        <f>IF(N("If it is Cell or Tron or OPY, Do not Show Twain")+OR(AND(ROW(K178)&gt;=39,ROW(K178)&lt;=68),AND(ROW(K178)&gt;=99,ROW(K178)&lt;=128),AND(ROW(J178)&gt;=219,ROW(J178)&lt;=248)),"","☐ TWAIN")</f>
        <v>☐ TWAIN</v>
      </c>
      <c r="L178" s="379" t="str">
        <f>IF(AND(IF(PROD_MostPopularScanner="LC",1,0), NOT(AND(ROW(E178)&gt;=129,ROW(E178)&lt;=158)), NOT(AND(ROW(E178)&gt;=189,ROW(E178)&lt;=218))),"",
IF(N("Si OR dessous = vrai, pas de box")+OR(
N("1 OR Dendro+CELL, Tron+Folia,Cam")+OR(
AND(ROW(K178)&gt;=9,ROW(K178)&lt;=68),
AND(ROW(K178)&gt;=99,ROW(K178)&lt;=158),
AND(ROW(K178)&gt;=189,ROW(K178)&lt;=218)),
N("2 Pas de système scanopy and range opy")+AND(ROW(K178)&gt;=219,ROW(K178)&lt;=248,SCANOPY_N_System&lt;2),
N("3 Avec LC")&amp;IF(ISERROR(LEFT(J177,SEARCH("00",J177)-3)),"",LEFT(J177,SEARCH("00",J177)-3))="LC"),"","☐ ")
&amp;
IF(N("If it's OPY, put OMount Manual instead")+
AND(ROW(J178)&gt;=219,ROW(J178)&lt;=248),
IF(SCANOPY_N_System&gt;1,"OMount Man",""),
IF(N("If it is Dendro+CELL, Tron+Folia or Cam, Do not Show Scanner related items+No Video if LC")+OR(
AND(ROW(K178)&gt;=9,ROW(K178)&lt;=68),
AND(ROW(K178)&gt;=99,ROW(K178)&lt;=158),
AND(ROW(K178)&gt;=189,ROW(K178)&lt;=218),
IF(ISERROR(LEFT(J177,SEARCH("00",J177)-3)),"",LEFT(J177,SEARCH("00",J177)-3))="LC"),
    "", "Video " &amp; IF(1=N("Si système a un scanner différent du Scanner populaire alors différent, sinon Scanner populaire")+AND(NOT(ISERROR(SEARCH("System",J177))),LEFT(J177,2)&lt;&gt;LEFT(PROD_MostPopularScanner,2)),
LEFT(J177,SEARCH("00",J177)-3),
PROD_MostPopularScanner) &amp; " Install"))
)</f>
        <v>☐ Video Scan. Install</v>
      </c>
      <c r="M178" s="378" t="str">
        <f>IF(N("If it is Dendro or Tron, Do not Show Color Analysis Video")+
OR(AND(ROW(L178)&gt;=9,ROW(L178)&lt;=38),
AND(ROW(L178)&gt;=99,ROW(L178)&lt;=128)), "","☐ Video ClrAna")</f>
        <v>☐ Video ClrAna</v>
      </c>
      <c r="N178" s="379" t="str">
        <f>IF(OR(INT((ROW(D178)-10)/30)+1=2,INT((ROW(D178)-10)/30)+1=4),"","☐ ")&amp;
IF(INT((ROW(D178)-10)/30)+1=1,"Scanner.cal","")&amp;
IF(INT((ROW(D178)-10)/30)+1=2,"","")&amp;
IF(INT((ROW(D178)-10)/30)+1=3,"Scanner.cal","")&amp;
IF(INT((ROW(D178)-10)/30)+1=4,"","")&amp;
IF(INT((ROW(D178)-10)/30)+1=5,"Scanner.cal","")&amp;
IF(INT((ROW(D178)-10)/30)+1=6,"Scanner.cal","")&amp;
IF(INT((ROW(D178)-10)/30)+1=7,"Scanner.cal","")&amp;
IF(INT((ROW(D178)-10)/30)+1=8,"Indiv" &amp; " Lens.cal","")</f>
        <v>☐ Scanner.cal</v>
      </c>
      <c r="O178" s="307" t="str">
        <f>IF(AND(ROW(L178)&gt;=9,ROW(L178)&lt;=38),"☐ RegentTarget.blu","")</f>
        <v/>
      </c>
      <c r="P178" s="215"/>
      <c r="Q178" s="215"/>
    </row>
    <row r="179" spans="1:17" ht="24" customHeight="1" x14ac:dyDescent="0.2">
      <c r="A179" s="433" t="s">
        <v>259</v>
      </c>
      <c r="B179" s="224" t="s">
        <v>259</v>
      </c>
      <c r="C179" s="307" t="s">
        <v>152</v>
      </c>
      <c r="D179" s="307" t="str">
        <f xml:space="preserve"> IF(N("If it is Cam, Do not Show XL")+AND(ROW(D179)&gt;=189,ROW(D179)&lt;=218),"","☐ XL Man")</f>
        <v>☐ XL Man</v>
      </c>
      <c r="E179" s="437" t="str">
        <f>IF(N("Si OR dessous = vrai, pas de box")+OR(
N("1 OR Tron ou CELL")+OR(AND(ROW(K178)&gt;=39,ROW(K178)&lt;=68),AND(ROW(K178)&gt;=99,ROW(K178)&lt;=128)),
N("2 Pas de système scanopy and range opy")+AND(ROW(K178)&gt;=219,ROW(K178)&lt;=248,SCANOPY_N_System&lt;2),
N("3 Avec LC")&amp;IF(ISERROR(LEFT(J177,SEARCH("00",J177)-3)),"",LEFT(J177,SEARCH("00",J177)-3))="LC"),"","☐ ")
&amp;
IF(N("If it's OPY, put OMount Manual instead")+
AND(ROW(J178)&gt;=219,ROW(J178)&lt;=248),
IF(SCANOPY_N_System&gt;1,"OMount Man",""),
IF(N("If it is Cell or Tron, Do not Show Scanner related items")+OR(
AND(ROW(K178)&gt;=39,ROW(K178)&lt;=68),
AND(ROW(K178)&gt;=99,ROW(K178)&lt;=128)),
    "", IF(1=N("Si système a un scanner différent du Scanner populaire alors différent, sinon Scanner populaire")+AND(NOT(ISERROR(SEARCH("System",J177))),LEFT(J177,2)&lt;&gt;LEFT(PROD_MostPopularScanner,2)),
LEFT(J177,SEARCH("00",J177)-3),
PROD_MostPopularScanner) &amp; " Install Man"))</f>
        <v>☐ Scan. Install Man</v>
      </c>
      <c r="F179" s="380" t="s">
        <v>275</v>
      </c>
      <c r="G179" s="307" t="s">
        <v>274</v>
      </c>
      <c r="H179" s="439" t="s">
        <v>250</v>
      </c>
      <c r="I179" s="381"/>
      <c r="J179" s="307" t="str">
        <f ca="1">IF(AND(
INDIRECT(
IF(INT((ROW(D179)-10)/30)+1=1,"DENDRO","")&amp;
IF(INT((ROW(D179)-10)/30)+1=2,"CELL","")&amp;
IF(INT((ROW(D179)-10)/30)+1=3,"RHIZO","")&amp;
IF(INT((ROW(D179)-10)/30)+1=4,"RHIZOTRON","")&amp;
IF(INT((ROW(D179)-10)/30)+1=5,"FOLIA","")&amp;
IF(INT((ROW(D179)-10)/30)+1=6,"SEEDLE","")&amp;
IF(INT((ROW(D179)-10)/30)+1=7,"CAM","")&amp;
IF(INT((ROW(D179)-10)/30)+1=8,"SCANOPY","") &amp; "_ChkB_RemoteUpdate"),
INDIRECT(
IF(INT((ROW(D179)-10)/30)+1=1,"DENDRO","")&amp;
IF(INT((ROW(D179)-10)/30)+1=2,"CELL","")&amp;
IF(INT((ROW(D179)-10)/30)+1=3,"RHIZO","")&amp;
IF(INT((ROW(D179)-10)/30)+1=4,"RHIZOTRON","")&amp;
IF(INT((ROW(D179)-10)/30)+1=5,"FOLIA","")&amp;
IF(INT((ROW(D179)-10)/30)+1=6,"SEEDLE","")&amp;
IF(INT((ROW(D179)-10)/30)+1=7,"CAM","")&amp;
IF(INT((ROW(D179)-10)/30)+1=8,"SCANOPY","") &amp; "_ChkBox_UpgradeUpdate")),
"Clé de bois ou Download. Reprogrammation clé client",
"☐ " &amp; IF(AND(QUOTE_Split_SoftwareHardware,QUOTE_InternetDownload),"Man ds env. ""Documents"", Clé ds bulle collée sur env.","Reliée au Man"))</f>
        <v>☐ Reliée au Man</v>
      </c>
      <c r="K179" s="265"/>
      <c r="L179" s="223"/>
      <c r="M179" s="439"/>
      <c r="N179" s="380"/>
      <c r="O179" s="307"/>
      <c r="P179" s="215"/>
      <c r="Q179" s="215"/>
    </row>
    <row r="180" spans="1:17" ht="16.25" customHeight="1" x14ac:dyDescent="0.2">
      <c r="A180" s="420"/>
      <c r="B180" s="295"/>
      <c r="C180" s="886" t="str">
        <f>IF((SEEDLE_N_UpgradeUpdate + SEEDLE_N_Software ) = 2,"",LEFT(INDEX(SEEDLE_SoftwareFullNames,SEEDLE_IndexSoftware),FIND(" ",INDEX(SEEDLE_SoftwareFullNames,SEEDLE_IndexSoftware),FIND(" ",INDEX(SEEDLE_SoftwareFullNames,SEEDLE_IndexSoftware))+1)) &amp;
SEEDLE_YearMostRecent )</f>
        <v/>
      </c>
      <c r="D180" s="886"/>
      <c r="E180" s="303"/>
      <c r="F180" s="303"/>
      <c r="G180" s="274" t="str">
        <f>IF(SEEDLE_OptionXL*(SEEDLE_N_Software+SEEDLE_N_UpgradeUpdate-2)&gt;=((ROW(G180)-ROW($G$159))/4+1),"XLSEEDLE "&amp; SEEDLE_YearMostRecent,"")</f>
        <v/>
      </c>
      <c r="H180" s="259"/>
      <c r="I180" s="259"/>
      <c r="J180" s="274" t="str">
        <f>IF(SEEDLE_N_System-1&gt;=((ROW(G180)-ROW($G$159))/4+1),IF(SEEDLE_IndexScanner=1,"STD4800","LA2400") &amp; " System"&amp; IF(AND(SEEDLE_ClientWithOrWithoutScanner=2,SEEDLE_N_System&gt;1)," Sans Scanner"," Avec Scanner"),
IF(AND(SEEDLE_N_Software&gt;SEEDLE_N_System,SEEDLE_N_Software-1&gt;=((ROW(G180)-ROW($G$159))/4+1)),IF(N_SystemTotal=0,"Software Only",IF(N_STDScanners+N_LAScanners+N_LCScanners=0,"Software Sans Scanner","Software Avec Scanner")),
IF(SEEDLE_N_UpgradeUpdate-1&gt;=((ROW(G180)-ROW($G$159))/4+1)-(MAX(SEEDLE_N_System,SEEDLE_N_Software)-1),"Update","")))</f>
        <v/>
      </c>
      <c r="K180" s="259"/>
      <c r="L180" s="258"/>
      <c r="M180" s="258"/>
      <c r="N180" s="258"/>
      <c r="O180" s="215"/>
      <c r="P180" s="215"/>
      <c r="Q180" s="215"/>
    </row>
    <row r="181" spans="1:17" ht="24" customHeight="1" x14ac:dyDescent="0.2">
      <c r="A181" s="433" t="s">
        <v>258</v>
      </c>
      <c r="B181" s="287" t="s">
        <v>258</v>
      </c>
      <c r="C181" s="378" t="str">
        <f>IF(AND(QUOTE_Split_SoftwareHardware,QUOTE_InternetDownload),"",
"☐☐ Win" &amp;
IF(INT((ROW(D181)-10)/30)+1=1,"DEN","")&amp;
IF(INT((ROW(D181)-10)/30)+1=2,"CEL","")&amp;
IF(INT((ROW(D181)-10)/30)+1=3,"RHI","")&amp;
IF(INT((ROW(D181)-10)/30)+1=4,"RT","")&amp;
IF(INT((ROW(D181)-10)/30)+1=5,"FOL","")&amp;
IF(INT((ROW(D181)-10)/30)+1=6,"SEE","")&amp;
IF(INT((ROW(D181)-10)/30)+1=7,"CAM","")&amp;
IF(INT((ROW(D181)-10)/30)+1=8,"SCA","") &amp; ".exe")</f>
        <v>☐☐ WinSEE.exe</v>
      </c>
      <c r="D181" s="378" t="str">
        <f>IF(AND(QUOTE_Split_SoftwareHardware,QUOTE_InternetDownload),"",
 IF(N("If it is Cam, Do not Show XL")+AND(ROW(D181)&gt;=189,ROW(D181)&lt;=218),"","☐ XL" &amp;
IF(INT((ROW(D181)-10)/30)+1=1,"STEM","")&amp;
IF(INT((ROW(D181)-10)/30)+1=2,"Cell","")&amp;
IF(INT((ROW(D181)-10)/30)+1=3,"Rhizo","")&amp;
IF(INT((ROW(D181)-10)/30)+1=4,"RhizoT","")&amp;
IF(INT((ROW(D181)-10)/30)+1=5,"Folia","")&amp;
IF(INT((ROW(D181)-10)/30)+1=6,"Seedle","")&amp;
IF(INT((ROW(D181)-10)/30)+1=7,"Cam","")&amp;
IF(INT((ROW(D181)-10)/30)+1=8,"Scanopy","") &amp; ".xls"))</f>
        <v>☐ XLSeedle.xls</v>
      </c>
      <c r="E181" s="378" t="s">
        <v>299</v>
      </c>
      <c r="F181" s="379" t="s">
        <v>152</v>
      </c>
      <c r="G181" s="378" t="str">
        <f xml:space="preserve"> IF(N("If it is Cam, Do not Show XL")+AND(ROW(G181)&gt;=189,ROW(G181)&lt;=218),"","☐ XL Man")</f>
        <v>☐ XL Man</v>
      </c>
      <c r="H181" s="379" t="s">
        <v>280</v>
      </c>
      <c r="I181" s="307" t="s">
        <v>274</v>
      </c>
      <c r="J181" s="379" t="str">
        <f>IF(N("Si OR dessous = vrai, pas de box")+OR(
N("1 OR Tron ou CELL")+OR(AND(ROW(E181)&gt;=39,ROW(E181)&lt;=68),AND(ROW(E181)&gt;=99,ROW(E181)&lt;=128)),
N("2 Pas de système scanopy and range opy")+AND(ROW(E181)&gt;=219,ROW(E181)&lt;=248,SCANOPY_N_System&lt;2),
N("3 Avec LC") + IF(AND(IF(PROD_MostPopularScanner="LC",1,0), NOT(AND(ROW(E181)&gt;=129,ROW(E181)&lt;=158)), NOT(AND(ROW(E181)&gt;=189,ROW(E181)&lt;=218))),1,0)
),"","☐ ")
&amp;
IF(N("If it's OPY, put OMount Manual instead")+
AND(ROW(D181)&gt;=219,ROW(D181)&lt;=248),
IF(SCANOPY_N_System&gt;1,
IF(SCANOPY_IndexScanner=1,"α" &amp; SCANOPY_CameraModel,SCANOPY_CameraModel_Mini) &amp; " Man",""),
IF(N("Empty si OR = true . . .If it is Cell or Tron, Do not Show Scanner related items + Hide if LC is favorite on unavailable product")+OR(
AND(ROW(E181)&gt;=39,ROW(E181)&lt;=68),
AND(ROW(E181)&gt;=99,ROW(E181)&lt;=128),
AND(IF(PROD_MostPopularScanner="LC",1,0), NOT(AND(ROW(E181)&gt;=129,ROW(E181)&lt;=158)), NOT(AND(ROW(E181)&gt;=189,ROW(E181)&lt;=218))),
0=1),
    "", IF(1=N("Si système a un scanner différent du Scanner populaire alors différent, sinon Scanner populaire")+AND(NOT(ISERROR(SEARCH("System",J180))),LEFT(J180,2)&lt;&gt;LEFT(PROD_MostPopularScanner,2)),
LEFT(J180,SEARCH("00",J180)-3),
PROD_MostPopularScanner) &amp; " Install Man"))</f>
        <v>☐ Scan. Install Man</v>
      </c>
      <c r="K181" s="378" t="str">
        <f>IF(N("If it is Cell or Tron or OPY, Do not Show Twain")+OR(AND(ROW(K181)&gt;=39,ROW(K181)&lt;=68),AND(ROW(K181)&gt;=99,ROW(K181)&lt;=128),AND(ROW(J181)&gt;=219,ROW(J181)&lt;=248)),"","☐ TWAIN")</f>
        <v>☐ TWAIN</v>
      </c>
      <c r="L181" s="379" t="str">
        <f>IF(AND(IF(PROD_MostPopularScanner="LC",1,0), NOT(AND(ROW(E181)&gt;=129,ROW(E181)&lt;=158)), NOT(AND(ROW(E181)&gt;=189,ROW(E181)&lt;=218))),"",
IF(N("Si OR dessous = vrai, pas de box")+OR(
N("1 OR Dendro+CELL, Tron+Folia,Cam")+OR(
AND(ROW(K181)&gt;=9,ROW(K181)&lt;=68),
AND(ROW(K181)&gt;=99,ROW(K181)&lt;=158),
AND(ROW(K181)&gt;=189,ROW(K181)&lt;=218)),
N("2 Pas de système scanopy and range opy")+AND(ROW(K181)&gt;=219,ROW(K181)&lt;=248,SCANOPY_N_System&lt;2),
N("3 Avec LC")&amp;IF(ISERROR(LEFT(J180,SEARCH("00",J180)-3)),"",LEFT(J180,SEARCH("00",J180)-3))="LC"),"","☐ ")
&amp;
IF(N("If it's OPY, put OMount Manual instead")+
AND(ROW(J181)&gt;=219,ROW(J181)&lt;=248),
IF(SCANOPY_N_System&gt;1,"OMount Man",""),
IF(N("If it is Dendro+CELL, Tron+Folia or Cam, Do not Show Scanner related items+No Video if LC")+OR(
AND(ROW(K181)&gt;=9,ROW(K181)&lt;=68),
AND(ROW(K181)&gt;=99,ROW(K181)&lt;=158),
AND(ROW(K181)&gt;=189,ROW(K181)&lt;=218),
IF(ISERROR(LEFT(J180,SEARCH("00",J180)-3)),"",LEFT(J180,SEARCH("00",J180)-3))="LC"),
    "", "Video " &amp; IF(1=N("Si système a un scanner différent du Scanner populaire alors différent, sinon Scanner populaire")+AND(NOT(ISERROR(SEARCH("System",J180))),LEFT(J180,2)&lt;&gt;LEFT(PROD_MostPopularScanner,2)),
LEFT(J180,SEARCH("00",J180)-3),
PROD_MostPopularScanner) &amp; " Install"))
)</f>
        <v>☐ Video Scan. Install</v>
      </c>
      <c r="M181" s="378" t="str">
        <f>IF(N("If it is Dendro or Tron, Do not Show Color Analysis Video")+
OR(AND(ROW(L181)&gt;=9,ROW(L181)&lt;=38),
AND(ROW(L181)&gt;=99,ROW(L181)&lt;=128)), "","☐ Video ClrAna")</f>
        <v>☐ Video ClrAna</v>
      </c>
      <c r="N181" s="379" t="str">
        <f>IF(OR(INT((ROW(D181)-10)/30)+1=2,INT((ROW(D181)-10)/30)+1=4),"","☐ ")&amp;
IF(INT((ROW(D181)-10)/30)+1=1,"Scanner.cal","")&amp;
IF(INT((ROW(D181)-10)/30)+1=2,"","")&amp;
IF(INT((ROW(D181)-10)/30)+1=3,"Scanner.cal","")&amp;
IF(INT((ROW(D181)-10)/30)+1=4,"","")&amp;
IF(INT((ROW(D181)-10)/30)+1=5,"Scanner.cal","")&amp;
IF(INT((ROW(D181)-10)/30)+1=6,"Scanner.cal","")&amp;
IF(INT((ROW(D181)-10)/30)+1=7,"Scanner.cal","")&amp;
IF(INT((ROW(D181)-10)/30)+1=8,"Indiv" &amp; " Lens.cal","")</f>
        <v>☐ Scanner.cal</v>
      </c>
      <c r="O181" s="307" t="str">
        <f>IF(AND(ROW(L181)&gt;=9,ROW(L181)&lt;=38),"☐ RegentTarget.blu","")</f>
        <v/>
      </c>
      <c r="P181" s="215"/>
      <c r="Q181" s="215"/>
    </row>
    <row r="182" spans="1:17" ht="24" customHeight="1" x14ac:dyDescent="0.2">
      <c r="A182" s="433" t="s">
        <v>259</v>
      </c>
      <c r="B182" s="224" t="s">
        <v>259</v>
      </c>
      <c r="C182" s="307" t="s">
        <v>152</v>
      </c>
      <c r="D182" s="307" t="str">
        <f xml:space="preserve"> IF(N("If it is Cam, Do not Show XL")+AND(ROW(D182)&gt;=189,ROW(D182)&lt;=218),"","☐ XL Man")</f>
        <v>☐ XL Man</v>
      </c>
      <c r="E182" s="437" t="str">
        <f>IF(N("Si OR dessous = vrai, pas de box")+OR(
N("1 OR Tron ou CELL")+OR(AND(ROW(K181)&gt;=39,ROW(K181)&lt;=68),AND(ROW(K181)&gt;=99,ROW(K181)&lt;=128)),
N("2 Pas de système scanopy and range opy")+AND(ROW(K181)&gt;=219,ROW(K181)&lt;=248,SCANOPY_N_System&lt;2),
N("3 Avec LC")&amp;IF(ISERROR(LEFT(J180,SEARCH("00",J180)-3)),"",LEFT(J180,SEARCH("00",J180)-3))="LC"),"","☐ ")
&amp;
IF(N("If it's OPY, put OMount Manual instead")+
AND(ROW(J181)&gt;=219,ROW(J181)&lt;=248),
IF(SCANOPY_N_System&gt;1,"OMount Man",""),
IF(N("If it is Cell or Tron, Do not Show Scanner related items")+OR(
AND(ROW(K181)&gt;=39,ROW(K181)&lt;=68),
AND(ROW(K181)&gt;=99,ROW(K181)&lt;=128)),
    "", IF(1=N("Si système a un scanner différent du Scanner populaire alors différent, sinon Scanner populaire")+AND(NOT(ISERROR(SEARCH("System",J180))),LEFT(J180,2)&lt;&gt;LEFT(PROD_MostPopularScanner,2)),
LEFT(J180,SEARCH("00",J180)-3),
PROD_MostPopularScanner) &amp; " Install Man"))</f>
        <v>☐ Scan. Install Man</v>
      </c>
      <c r="F182" s="380" t="s">
        <v>275</v>
      </c>
      <c r="G182" s="307" t="s">
        <v>274</v>
      </c>
      <c r="H182" s="439" t="s">
        <v>250</v>
      </c>
      <c r="I182" s="381"/>
      <c r="J182" s="307" t="str">
        <f ca="1">IF(AND(
INDIRECT(
IF(INT((ROW(D182)-10)/30)+1=1,"DENDRO","")&amp;
IF(INT((ROW(D182)-10)/30)+1=2,"CELL","")&amp;
IF(INT((ROW(D182)-10)/30)+1=3,"RHIZO","")&amp;
IF(INT((ROW(D182)-10)/30)+1=4,"RHIZOTRON","")&amp;
IF(INT((ROW(D182)-10)/30)+1=5,"FOLIA","")&amp;
IF(INT((ROW(D182)-10)/30)+1=6,"SEEDLE","")&amp;
IF(INT((ROW(D182)-10)/30)+1=7,"CAM","")&amp;
IF(INT((ROW(D182)-10)/30)+1=8,"SCANOPY","") &amp; "_ChkB_RemoteUpdate"),
INDIRECT(
IF(INT((ROW(D182)-10)/30)+1=1,"DENDRO","")&amp;
IF(INT((ROW(D182)-10)/30)+1=2,"CELL","")&amp;
IF(INT((ROW(D182)-10)/30)+1=3,"RHIZO","")&amp;
IF(INT((ROW(D182)-10)/30)+1=4,"RHIZOTRON","")&amp;
IF(INT((ROW(D182)-10)/30)+1=5,"FOLIA","")&amp;
IF(INT((ROW(D182)-10)/30)+1=6,"SEEDLE","")&amp;
IF(INT((ROW(D182)-10)/30)+1=7,"CAM","")&amp;
IF(INT((ROW(D182)-10)/30)+1=8,"SCANOPY","") &amp; "_ChkBox_UpgradeUpdate")),
"Clé de bois ou Download. Reprogrammation clé client",
"☐ " &amp; IF(AND(QUOTE_Split_SoftwareHardware,QUOTE_InternetDownload),"Man ds env. ""Documents"", Clé ds bulle collée sur env.","Reliée au Man"))</f>
        <v>☐ Reliée au Man</v>
      </c>
      <c r="K182" s="265"/>
      <c r="L182" s="223"/>
      <c r="M182" s="439"/>
      <c r="N182" s="380"/>
      <c r="O182" s="307"/>
      <c r="P182" s="215"/>
      <c r="Q182" s="215"/>
    </row>
    <row r="183" spans="1:17" ht="16.25" customHeight="1" x14ac:dyDescent="0.2">
      <c r="A183" s="420"/>
      <c r="B183" s="295"/>
      <c r="C183" s="886" t="str">
        <f>IF((SEEDLE_N_UpgradeUpdate + SEEDLE_N_Software ) = 2,"",LEFT(INDEX(SEEDLE_SoftwareFullNames,SEEDLE_IndexSoftware),FIND(" ",INDEX(SEEDLE_SoftwareFullNames,SEEDLE_IndexSoftware),FIND(" ",INDEX(SEEDLE_SoftwareFullNames,SEEDLE_IndexSoftware))+1)) &amp;
SEEDLE_YearMostRecent )</f>
        <v/>
      </c>
      <c r="D183" s="886"/>
      <c r="E183" s="303"/>
      <c r="F183" s="303"/>
      <c r="G183" s="274" t="str">
        <f>IF(SEEDLE_OptionXL*(SEEDLE_N_Software+SEEDLE_N_UpgradeUpdate-2)&gt;=((ROW(G183)-ROW($G$159))/4+1),"XLSEEDLE "&amp; SEEDLE_YearMostRecent,"")</f>
        <v/>
      </c>
      <c r="H183" s="259"/>
      <c r="I183" s="259"/>
      <c r="J183" s="274" t="str">
        <f>IF(SEEDLE_N_System-1&gt;=((ROW(G183)-ROW($G$159))/4+1),IF(SEEDLE_IndexScanner=1,"STD4800","LA2400") &amp; " System"&amp; IF(AND(SEEDLE_ClientWithOrWithoutScanner=2,SEEDLE_N_System&gt;1)," Sans Scanner"," Avec Scanner"),
IF(AND(SEEDLE_N_Software&gt;SEEDLE_N_System,SEEDLE_N_Software-1&gt;=((ROW(G183)-ROW($G$159))/4+1)),IF(N_SystemTotal=0,"Software Only",IF(N_STDScanners+N_LAScanners+N_LCScanners=0,"Software Sans Scanner","Software Avec Scanner")),
IF(SEEDLE_N_UpgradeUpdate-1&gt;=((ROW(G183)-ROW($G$159))/4+1)-(MAX(SEEDLE_N_System,SEEDLE_N_Software)-1),"Update","")))</f>
        <v/>
      </c>
      <c r="K183" s="259"/>
      <c r="L183" s="258"/>
      <c r="M183" s="258"/>
      <c r="N183" s="258"/>
      <c r="O183" s="215"/>
      <c r="P183" s="215"/>
      <c r="Q183" s="215"/>
    </row>
    <row r="184" spans="1:17" ht="24" customHeight="1" x14ac:dyDescent="0.2">
      <c r="A184" s="433" t="s">
        <v>258</v>
      </c>
      <c r="B184" s="287" t="s">
        <v>258</v>
      </c>
      <c r="C184" s="378" t="str">
        <f>IF(AND(QUOTE_Split_SoftwareHardware,QUOTE_InternetDownload),"",
"☐☐ Win" &amp;
IF(INT((ROW(D184)-10)/30)+1=1,"DEN","")&amp;
IF(INT((ROW(D184)-10)/30)+1=2,"CEL","")&amp;
IF(INT((ROW(D184)-10)/30)+1=3,"RHI","")&amp;
IF(INT((ROW(D184)-10)/30)+1=4,"RT","")&amp;
IF(INT((ROW(D184)-10)/30)+1=5,"FOL","")&amp;
IF(INT((ROW(D184)-10)/30)+1=6,"SEE","")&amp;
IF(INT((ROW(D184)-10)/30)+1=7,"CAM","")&amp;
IF(INT((ROW(D184)-10)/30)+1=8,"SCA","") &amp; ".exe")</f>
        <v>☐☐ WinSEE.exe</v>
      </c>
      <c r="D184" s="378" t="str">
        <f>IF(AND(QUOTE_Split_SoftwareHardware,QUOTE_InternetDownload),"",
 IF(N("If it is Cam, Do not Show XL")+AND(ROW(D184)&gt;=189,ROW(D184)&lt;=218),"","☐ XL" &amp;
IF(INT((ROW(D184)-10)/30)+1=1,"STEM","")&amp;
IF(INT((ROW(D184)-10)/30)+1=2,"Cell","")&amp;
IF(INT((ROW(D184)-10)/30)+1=3,"Rhizo","")&amp;
IF(INT((ROW(D184)-10)/30)+1=4,"RhizoT","")&amp;
IF(INT((ROW(D184)-10)/30)+1=5,"Folia","")&amp;
IF(INT((ROW(D184)-10)/30)+1=6,"Seedle","")&amp;
IF(INT((ROW(D184)-10)/30)+1=7,"Cam","")&amp;
IF(INT((ROW(D184)-10)/30)+1=8,"Scanopy","") &amp; ".xls"))</f>
        <v>☐ XLSeedle.xls</v>
      </c>
      <c r="E184" s="378" t="s">
        <v>299</v>
      </c>
      <c r="F184" s="379" t="s">
        <v>152</v>
      </c>
      <c r="G184" s="378" t="str">
        <f xml:space="preserve"> IF(N("If it is Cam, Do not Show XL")+AND(ROW(G184)&gt;=189,ROW(G184)&lt;=218),"","☐ XL Man")</f>
        <v>☐ XL Man</v>
      </c>
      <c r="H184" s="379" t="s">
        <v>280</v>
      </c>
      <c r="I184" s="307" t="s">
        <v>274</v>
      </c>
      <c r="J184" s="379" t="str">
        <f>IF(N("Si OR dessous = vrai, pas de box")+OR(
N("1 OR Tron ou CELL")+OR(AND(ROW(E184)&gt;=39,ROW(E184)&lt;=68),AND(ROW(E184)&gt;=99,ROW(E184)&lt;=128)),
N("2 Pas de système scanopy and range opy")+AND(ROW(E184)&gt;=219,ROW(E184)&lt;=248,SCANOPY_N_System&lt;2),
N("3 Avec LC") + IF(AND(IF(PROD_MostPopularScanner="LC",1,0), NOT(AND(ROW(E184)&gt;=129,ROW(E184)&lt;=158)), NOT(AND(ROW(E184)&gt;=189,ROW(E184)&lt;=218))),1,0)
),"","☐ ")
&amp;
IF(N("If it's OPY, put OMount Manual instead")+
AND(ROW(D184)&gt;=219,ROW(D184)&lt;=248),
IF(SCANOPY_N_System&gt;1,
IF(SCANOPY_IndexScanner=1,"α" &amp; SCANOPY_CameraModel,SCANOPY_CameraModel_Mini) &amp; " Man",""),
IF(N("Empty si OR = true . . .If it is Cell or Tron, Do not Show Scanner related items + Hide if LC is favorite on unavailable product")+OR(
AND(ROW(E184)&gt;=39,ROW(E184)&lt;=68),
AND(ROW(E184)&gt;=99,ROW(E184)&lt;=128),
AND(IF(PROD_MostPopularScanner="LC",1,0), NOT(AND(ROW(E184)&gt;=129,ROW(E184)&lt;=158)), NOT(AND(ROW(E184)&gt;=189,ROW(E184)&lt;=218))),
0=1),
    "", IF(1=N("Si système a un scanner différent du Scanner populaire alors différent, sinon Scanner populaire")+AND(NOT(ISERROR(SEARCH("System",J183))),LEFT(J183,2)&lt;&gt;LEFT(PROD_MostPopularScanner,2)),
LEFT(J183,SEARCH("00",J183)-3),
PROD_MostPopularScanner) &amp; " Install Man"))</f>
        <v>☐ Scan. Install Man</v>
      </c>
      <c r="K184" s="378" t="str">
        <f>IF(N("If it is Cell or Tron or OPY, Do not Show Twain")+OR(AND(ROW(K184)&gt;=39,ROW(K184)&lt;=68),AND(ROW(K184)&gt;=99,ROW(K184)&lt;=128),AND(ROW(J184)&gt;=219,ROW(J184)&lt;=248)),"","☐ TWAIN")</f>
        <v>☐ TWAIN</v>
      </c>
      <c r="L184" s="379" t="str">
        <f>IF(AND(IF(PROD_MostPopularScanner="LC",1,0), NOT(AND(ROW(E184)&gt;=129,ROW(E184)&lt;=158)), NOT(AND(ROW(E184)&gt;=189,ROW(E184)&lt;=218))),"",
IF(N("Si OR dessous = vrai, pas de box")+OR(
N("1 OR Dendro+CELL, Tron+Folia,Cam")+OR(
AND(ROW(K184)&gt;=9,ROW(K184)&lt;=68),
AND(ROW(K184)&gt;=99,ROW(K184)&lt;=158),
AND(ROW(K184)&gt;=189,ROW(K184)&lt;=218)),
N("2 Pas de système scanopy and range opy")+AND(ROW(K184)&gt;=219,ROW(K184)&lt;=248,SCANOPY_N_System&lt;2),
N("3 Avec LC")&amp;IF(ISERROR(LEFT(J183,SEARCH("00",J183)-3)),"",LEFT(J183,SEARCH("00",J183)-3))="LC"),"","☐ ")
&amp;
IF(N("If it's OPY, put OMount Manual instead")+
AND(ROW(J184)&gt;=219,ROW(J184)&lt;=248),
IF(SCANOPY_N_System&gt;1,"OMount Man",""),
IF(N("If it is Dendro+CELL, Tron+Folia or Cam, Do not Show Scanner related items+No Video if LC")+OR(
AND(ROW(K184)&gt;=9,ROW(K184)&lt;=68),
AND(ROW(K184)&gt;=99,ROW(K184)&lt;=158),
AND(ROW(K184)&gt;=189,ROW(K184)&lt;=218),
IF(ISERROR(LEFT(J183,SEARCH("00",J183)-3)),"",LEFT(J183,SEARCH("00",J183)-3))="LC"),
    "", "Video " &amp; IF(1=N("Si système a un scanner différent du Scanner populaire alors différent, sinon Scanner populaire")+AND(NOT(ISERROR(SEARCH("System",J183))),LEFT(J183,2)&lt;&gt;LEFT(PROD_MostPopularScanner,2)),
LEFT(J183,SEARCH("00",J183)-3),
PROD_MostPopularScanner) &amp; " Install"))
)</f>
        <v>☐ Video Scan. Install</v>
      </c>
      <c r="M184" s="378" t="str">
        <f>IF(N("If it is Dendro or Tron, Do not Show Color Analysis Video")+
OR(AND(ROW(L184)&gt;=9,ROW(L184)&lt;=38),
AND(ROW(L184)&gt;=99,ROW(L184)&lt;=128)), "","☐ Video ClrAna")</f>
        <v>☐ Video ClrAna</v>
      </c>
      <c r="N184" s="379" t="str">
        <f>IF(OR(INT((ROW(D184)-10)/30)+1=2,INT((ROW(D184)-10)/30)+1=4),"","☐ ")&amp;
IF(INT((ROW(D184)-10)/30)+1=1,"Scanner.cal","")&amp;
IF(INT((ROW(D184)-10)/30)+1=2,"","")&amp;
IF(INT((ROW(D184)-10)/30)+1=3,"Scanner.cal","")&amp;
IF(INT((ROW(D184)-10)/30)+1=4,"","")&amp;
IF(INT((ROW(D184)-10)/30)+1=5,"Scanner.cal","")&amp;
IF(INT((ROW(D184)-10)/30)+1=6,"Scanner.cal","")&amp;
IF(INT((ROW(D184)-10)/30)+1=7,"Scanner.cal","")&amp;
IF(INT((ROW(D184)-10)/30)+1=8,"Indiv" &amp; " Lens.cal","")</f>
        <v>☐ Scanner.cal</v>
      </c>
      <c r="O184" s="307" t="str">
        <f>IF(AND(ROW(L184)&gt;=9,ROW(L184)&lt;=38),"☐ RegentTarget.blu","")</f>
        <v/>
      </c>
      <c r="P184" s="215"/>
      <c r="Q184" s="215"/>
    </row>
    <row r="185" spans="1:17" ht="24" customHeight="1" x14ac:dyDescent="0.2">
      <c r="A185" s="433" t="s">
        <v>259</v>
      </c>
      <c r="B185" s="224" t="s">
        <v>259</v>
      </c>
      <c r="C185" s="307" t="s">
        <v>152</v>
      </c>
      <c r="D185" s="307" t="str">
        <f xml:space="preserve"> IF(N("If it is Cam, Do not Show XL")+AND(ROW(D185)&gt;=189,ROW(D185)&lt;=218),"","☐ XL Man")</f>
        <v>☐ XL Man</v>
      </c>
      <c r="E185" s="437" t="str">
        <f>IF(N("Si OR dessous = vrai, pas de box")+OR(
N("1 OR Tron ou CELL")+OR(AND(ROW(K184)&gt;=39,ROW(K184)&lt;=68),AND(ROW(K184)&gt;=99,ROW(K184)&lt;=128)),
N("2 Pas de système scanopy and range opy")+AND(ROW(K184)&gt;=219,ROW(K184)&lt;=248,SCANOPY_N_System&lt;2),
N("3 Avec LC")&amp;IF(ISERROR(LEFT(J183,SEARCH("00",J183)-3)),"",LEFT(J183,SEARCH("00",J183)-3))="LC"),"","☐ ")
&amp;
IF(N("If it's OPY, put OMount Manual instead")+
AND(ROW(J184)&gt;=219,ROW(J184)&lt;=248),
IF(SCANOPY_N_System&gt;1,"OMount Man",""),
IF(N("If it is Cell or Tron, Do not Show Scanner related items")+OR(
AND(ROW(K184)&gt;=39,ROW(K184)&lt;=68),
AND(ROW(K184)&gt;=99,ROW(K184)&lt;=128)),
    "", IF(1=N("Si système a un scanner différent du Scanner populaire alors différent, sinon Scanner populaire")+AND(NOT(ISERROR(SEARCH("System",J183))),LEFT(J183,2)&lt;&gt;LEFT(PROD_MostPopularScanner,2)),
LEFT(J183,SEARCH("00",J183)-3),
PROD_MostPopularScanner) &amp; " Install Man"))</f>
        <v>☐ Scan. Install Man</v>
      </c>
      <c r="F185" s="380" t="s">
        <v>275</v>
      </c>
      <c r="G185" s="307" t="s">
        <v>274</v>
      </c>
      <c r="H185" s="439" t="s">
        <v>250</v>
      </c>
      <c r="I185" s="381"/>
      <c r="J185" s="307" t="str">
        <f ca="1">IF(AND(
INDIRECT(
IF(INT((ROW(D185)-10)/30)+1=1,"DENDRO","")&amp;
IF(INT((ROW(D185)-10)/30)+1=2,"CELL","")&amp;
IF(INT((ROW(D185)-10)/30)+1=3,"RHIZO","")&amp;
IF(INT((ROW(D185)-10)/30)+1=4,"RHIZOTRON","")&amp;
IF(INT((ROW(D185)-10)/30)+1=5,"FOLIA","")&amp;
IF(INT((ROW(D185)-10)/30)+1=6,"SEEDLE","")&amp;
IF(INT((ROW(D185)-10)/30)+1=7,"CAM","")&amp;
IF(INT((ROW(D185)-10)/30)+1=8,"SCANOPY","") &amp; "_ChkB_RemoteUpdate"),
INDIRECT(
IF(INT((ROW(D185)-10)/30)+1=1,"DENDRO","")&amp;
IF(INT((ROW(D185)-10)/30)+1=2,"CELL","")&amp;
IF(INT((ROW(D185)-10)/30)+1=3,"RHIZO","")&amp;
IF(INT((ROW(D185)-10)/30)+1=4,"RHIZOTRON","")&amp;
IF(INT((ROW(D185)-10)/30)+1=5,"FOLIA","")&amp;
IF(INT((ROW(D185)-10)/30)+1=6,"SEEDLE","")&amp;
IF(INT((ROW(D185)-10)/30)+1=7,"CAM","")&amp;
IF(INT((ROW(D185)-10)/30)+1=8,"SCANOPY","") &amp; "_ChkBox_UpgradeUpdate")),
"Clé de bois ou Download. Reprogrammation clé client",
"☐ " &amp; IF(AND(QUOTE_Split_SoftwareHardware,QUOTE_InternetDownload),"Man ds env. ""Documents"", Clé ds bulle collée sur env.","Reliée au Man"))</f>
        <v>☐ Reliée au Man</v>
      </c>
      <c r="K185" s="265"/>
      <c r="L185" s="223"/>
      <c r="M185" s="439"/>
      <c r="N185" s="380"/>
      <c r="O185" s="307"/>
      <c r="P185" s="215"/>
      <c r="Q185" s="215"/>
    </row>
    <row r="186" spans="1:17" ht="16.25" customHeight="1" x14ac:dyDescent="0.2">
      <c r="A186" s="420"/>
      <c r="B186" s="295"/>
      <c r="C186" s="886" t="str">
        <f>IF((SEEDLE_N_UpgradeUpdate + SEEDLE_N_Software ) = 2,"",LEFT(INDEX(SEEDLE_SoftwareFullNames,SEEDLE_IndexSoftware),FIND(" ",INDEX(SEEDLE_SoftwareFullNames,SEEDLE_IndexSoftware),FIND(" ",INDEX(SEEDLE_SoftwareFullNames,SEEDLE_IndexSoftware))+1)) &amp;
SEEDLE_YearMostRecent )</f>
        <v/>
      </c>
      <c r="D186" s="886"/>
      <c r="E186" s="303"/>
      <c r="F186" s="303"/>
      <c r="G186" s="274" t="str">
        <f>IF(SEEDLE_OptionXL*(SEEDLE_N_Software+SEEDLE_N_UpgradeUpdate-2)&gt;=((ROW(G186)-ROW($G$159))/4+1),"XLSEEDLE "&amp; SEEDLE_YearMostRecent,"")</f>
        <v/>
      </c>
      <c r="H186" s="259"/>
      <c r="I186" s="259"/>
      <c r="J186" s="274" t="str">
        <f>IF(SEEDLE_N_System-1&gt;=((ROW(G186)-ROW($G$159))/4+1),IF(SEEDLE_IndexScanner=1,"STD4800","LA2400") &amp; " System"&amp; IF(AND(SEEDLE_ClientWithOrWithoutScanner=2,SEEDLE_N_System&gt;1)," Sans Scanner"," Avec Scanner"),
IF(AND(SEEDLE_N_Software&gt;SEEDLE_N_System,SEEDLE_N_Software-1&gt;=((ROW(G186)-ROW($G$159))/4+1)),IF(N_SystemTotal=0,"Software Only",IF(N_STDScanners+N_LAScanners+N_LCScanners=0,"Software Sans Scanner","Software Avec Scanner")),
IF(SEEDLE_N_UpgradeUpdate-1&gt;=((ROW(G186)-ROW($G$159))/4+1)-(MAX(SEEDLE_N_System,SEEDLE_N_Software)-1),"Update","")))</f>
        <v/>
      </c>
      <c r="K186" s="259"/>
      <c r="L186" s="258"/>
      <c r="M186" s="258"/>
      <c r="N186" s="258"/>
      <c r="O186" s="215"/>
      <c r="P186" s="215"/>
      <c r="Q186" s="215"/>
    </row>
    <row r="187" spans="1:17" ht="24" customHeight="1" x14ac:dyDescent="0.2">
      <c r="A187" s="433" t="s">
        <v>258</v>
      </c>
      <c r="B187" s="287" t="s">
        <v>258</v>
      </c>
      <c r="C187" s="378" t="str">
        <f>IF(AND(QUOTE_Split_SoftwareHardware,QUOTE_InternetDownload),"",
"☐☐ Win" &amp;
IF(INT((ROW(D187)-10)/30)+1=1,"DEN","")&amp;
IF(INT((ROW(D187)-10)/30)+1=2,"CEL","")&amp;
IF(INT((ROW(D187)-10)/30)+1=3,"RHI","")&amp;
IF(INT((ROW(D187)-10)/30)+1=4,"RT","")&amp;
IF(INT((ROW(D187)-10)/30)+1=5,"FOL","")&amp;
IF(INT((ROW(D187)-10)/30)+1=6,"SEE","")&amp;
IF(INT((ROW(D187)-10)/30)+1=7,"CAM","")&amp;
IF(INT((ROW(D187)-10)/30)+1=8,"SCA","") &amp; ".exe")</f>
        <v>☐☐ WinSEE.exe</v>
      </c>
      <c r="D187" s="378" t="str">
        <f>IF(AND(QUOTE_Split_SoftwareHardware,QUOTE_InternetDownload),"",
 IF(N("If it is Cam, Do not Show XL")+AND(ROW(D187)&gt;=189,ROW(D187)&lt;=218),"","☐ XL" &amp;
IF(INT((ROW(D187)-10)/30)+1=1,"STEM","")&amp;
IF(INT((ROW(D187)-10)/30)+1=2,"Cell","")&amp;
IF(INT((ROW(D187)-10)/30)+1=3,"Rhizo","")&amp;
IF(INT((ROW(D187)-10)/30)+1=4,"RhizoT","")&amp;
IF(INT((ROW(D187)-10)/30)+1=5,"Folia","")&amp;
IF(INT((ROW(D187)-10)/30)+1=6,"Seedle","")&amp;
IF(INT((ROW(D187)-10)/30)+1=7,"Cam","")&amp;
IF(INT((ROW(D187)-10)/30)+1=8,"Scanopy","") &amp; ".xls"))</f>
        <v>☐ XLSeedle.xls</v>
      </c>
      <c r="E187" s="378" t="s">
        <v>299</v>
      </c>
      <c r="F187" s="379" t="s">
        <v>152</v>
      </c>
      <c r="G187" s="378" t="str">
        <f xml:space="preserve"> IF(N("If it is Cam, Do not Show XL")+AND(ROW(G187)&gt;=189,ROW(G187)&lt;=218),"","☐ XL Man")</f>
        <v>☐ XL Man</v>
      </c>
      <c r="H187" s="379" t="s">
        <v>280</v>
      </c>
      <c r="I187" s="307" t="s">
        <v>274</v>
      </c>
      <c r="J187" s="379" t="str">
        <f>IF(N("Si OR dessous = vrai, pas de box")+OR(
N("1 OR Tron ou CELL")+OR(AND(ROW(E187)&gt;=39,ROW(E187)&lt;=68),AND(ROW(E187)&gt;=99,ROW(E187)&lt;=128)),
N("2 Pas de système scanopy and range opy")+AND(ROW(E187)&gt;=219,ROW(E187)&lt;=248,SCANOPY_N_System&lt;2),
N("3 Avec LC") + IF(AND(IF(PROD_MostPopularScanner="LC",1,0), NOT(AND(ROW(E187)&gt;=129,ROW(E187)&lt;=158)), NOT(AND(ROW(E187)&gt;=189,ROW(E187)&lt;=218))),1,0)
),"","☐ ")
&amp;
IF(N("If it's OPY, put OMount Manual instead")+
AND(ROW(D187)&gt;=219,ROW(D187)&lt;=248),
IF(SCANOPY_N_System&gt;1,
IF(SCANOPY_IndexScanner=1,"α" &amp; SCANOPY_CameraModel,SCANOPY_CameraModel_Mini) &amp; " Man",""),
IF(N("Empty si OR = true . . .If it is Cell or Tron, Do not Show Scanner related items + Hide if LC is favorite on unavailable product")+OR(
AND(ROW(E187)&gt;=39,ROW(E187)&lt;=68),
AND(ROW(E187)&gt;=99,ROW(E187)&lt;=128),
AND(IF(PROD_MostPopularScanner="LC",1,0), NOT(AND(ROW(E187)&gt;=129,ROW(E187)&lt;=158)), NOT(AND(ROW(E187)&gt;=189,ROW(E187)&lt;=218))),
0=1),
    "", IF(1=N("Si système a un scanner différent du Scanner populaire alors différent, sinon Scanner populaire")+AND(NOT(ISERROR(SEARCH("System",J186))),LEFT(J186,2)&lt;&gt;LEFT(PROD_MostPopularScanner,2)),
LEFT(J186,SEARCH("00",J186)-3),
PROD_MostPopularScanner) &amp; " Install Man"))</f>
        <v>☐ Scan. Install Man</v>
      </c>
      <c r="K187" s="378" t="str">
        <f>IF(N("If it is Cell or Tron or OPY, Do not Show Twain")+OR(AND(ROW(K187)&gt;=39,ROW(K187)&lt;=68),AND(ROW(K187)&gt;=99,ROW(K187)&lt;=128),AND(ROW(J187)&gt;=219,ROW(J187)&lt;=248)),"","☐ TWAIN")</f>
        <v>☐ TWAIN</v>
      </c>
      <c r="L187" s="379" t="str">
        <f>IF(AND(IF(PROD_MostPopularScanner="LC",1,0), NOT(AND(ROW(E187)&gt;=129,ROW(E187)&lt;=158)), NOT(AND(ROW(E187)&gt;=189,ROW(E187)&lt;=218))),"",
IF(N("Si OR dessous = vrai, pas de box")+OR(
N("1 OR Dendro+CELL, Tron+Folia,Cam")+OR(
AND(ROW(K187)&gt;=9,ROW(K187)&lt;=68),
AND(ROW(K187)&gt;=99,ROW(K187)&lt;=158),
AND(ROW(K187)&gt;=189,ROW(K187)&lt;=218)),
N("2 Pas de système scanopy and range opy")+AND(ROW(K187)&gt;=219,ROW(K187)&lt;=248,SCANOPY_N_System&lt;2),
N("3 Avec LC")&amp;IF(ISERROR(LEFT(J186,SEARCH("00",J186)-3)),"",LEFT(J186,SEARCH("00",J186)-3))="LC"),"","☐ ")
&amp;
IF(N("If it's OPY, put OMount Manual instead")+
AND(ROW(J187)&gt;=219,ROW(J187)&lt;=248),
IF(SCANOPY_N_System&gt;1,"OMount Man",""),
IF(N("If it is Dendro+CELL, Tron+Folia or Cam, Do not Show Scanner related items+No Video if LC")+OR(
AND(ROW(K187)&gt;=9,ROW(K187)&lt;=68),
AND(ROW(K187)&gt;=99,ROW(K187)&lt;=158),
AND(ROW(K187)&gt;=189,ROW(K187)&lt;=218),
IF(ISERROR(LEFT(J186,SEARCH("00",J186)-3)),"",LEFT(J186,SEARCH("00",J186)-3))="LC"),
    "", "Video " &amp; IF(1=N("Si système a un scanner différent du Scanner populaire alors différent, sinon Scanner populaire")+AND(NOT(ISERROR(SEARCH("System",J186))),LEFT(J186,2)&lt;&gt;LEFT(PROD_MostPopularScanner,2)),
LEFT(J186,SEARCH("00",J186)-3),
PROD_MostPopularScanner) &amp; " Install"))
)</f>
        <v>☐ Video Scan. Install</v>
      </c>
      <c r="M187" s="378" t="str">
        <f>IF(N("If it is Dendro or Tron, Do not Show Color Analysis Video")+
OR(AND(ROW(L187)&gt;=9,ROW(L187)&lt;=38),
AND(ROW(L187)&gt;=99,ROW(L187)&lt;=128)), "","☐ Video ClrAna")</f>
        <v>☐ Video ClrAna</v>
      </c>
      <c r="N187" s="379" t="str">
        <f>IF(OR(INT((ROW(D187)-10)/30)+1=2,INT((ROW(D187)-10)/30)+1=4),"","☐ ")&amp;
IF(INT((ROW(D187)-10)/30)+1=1,"Scanner.cal","")&amp;
IF(INT((ROW(D187)-10)/30)+1=2,"","")&amp;
IF(INT((ROW(D187)-10)/30)+1=3,"Scanner.cal","")&amp;
IF(INT((ROW(D187)-10)/30)+1=4,"","")&amp;
IF(INT((ROW(D187)-10)/30)+1=5,"Scanner.cal","")&amp;
IF(INT((ROW(D187)-10)/30)+1=6,"Scanner.cal","")&amp;
IF(INT((ROW(D187)-10)/30)+1=7,"Scanner.cal","")&amp;
IF(INT((ROW(D187)-10)/30)+1=8,"Indiv" &amp; " Lens.cal","")</f>
        <v>☐ Scanner.cal</v>
      </c>
      <c r="O187" s="307" t="str">
        <f>IF(AND(ROW(L187)&gt;=9,ROW(L187)&lt;=38),"☐ RegentTarget.blu","")</f>
        <v/>
      </c>
      <c r="P187" s="215"/>
      <c r="Q187" s="215"/>
    </row>
    <row r="188" spans="1:17" ht="24" customHeight="1" x14ac:dyDescent="0.2">
      <c r="A188" s="433" t="s">
        <v>259</v>
      </c>
      <c r="B188" s="224" t="s">
        <v>259</v>
      </c>
      <c r="C188" s="307" t="s">
        <v>152</v>
      </c>
      <c r="D188" s="307" t="str">
        <f xml:space="preserve"> IF(N("If it is Cam, Do not Show XL")+AND(ROW(D188)&gt;=189,ROW(D188)&lt;=218),"","☐ XL Man")</f>
        <v>☐ XL Man</v>
      </c>
      <c r="E188" s="437" t="str">
        <f>IF(N("Si OR dessous = vrai, pas de box")+OR(
N("1 OR Tron ou CELL")+OR(AND(ROW(K187)&gt;=39,ROW(K187)&lt;=68),AND(ROW(K187)&gt;=99,ROW(K187)&lt;=128)),
N("2 Pas de système scanopy and range opy")+AND(ROW(K187)&gt;=219,ROW(K187)&lt;=248,SCANOPY_N_System&lt;2),
N("3 Avec LC")&amp;IF(ISERROR(LEFT(J186,SEARCH("00",J186)-3)),"",LEFT(J186,SEARCH("00",J186)-3))="LC"),"","☐ ")
&amp;
IF(N("If it's OPY, put OMount Manual instead")+
AND(ROW(J187)&gt;=219,ROW(J187)&lt;=248),
IF(SCANOPY_N_System&gt;1,"OMount Man",""),
IF(N("If it is Cell or Tron, Do not Show Scanner related items")+OR(
AND(ROW(K187)&gt;=39,ROW(K187)&lt;=68),
AND(ROW(K187)&gt;=99,ROW(K187)&lt;=128)),
    "", IF(1=N("Si système a un scanner différent du Scanner populaire alors différent, sinon Scanner populaire")+AND(NOT(ISERROR(SEARCH("System",J186))),LEFT(J186,2)&lt;&gt;LEFT(PROD_MostPopularScanner,2)),
LEFT(J186,SEARCH("00",J186)-3),
PROD_MostPopularScanner) &amp; " Install Man"))</f>
        <v>☐ Scan. Install Man</v>
      </c>
      <c r="F188" s="380" t="s">
        <v>275</v>
      </c>
      <c r="G188" s="307" t="s">
        <v>274</v>
      </c>
      <c r="H188" s="439" t="s">
        <v>250</v>
      </c>
      <c r="I188" s="381"/>
      <c r="J188" s="307" t="str">
        <f ca="1">IF(AND(
INDIRECT(
IF(INT((ROW(D188)-10)/30)+1=1,"DENDRO","")&amp;
IF(INT((ROW(D188)-10)/30)+1=2,"CELL","")&amp;
IF(INT((ROW(D188)-10)/30)+1=3,"RHIZO","")&amp;
IF(INT((ROW(D188)-10)/30)+1=4,"RHIZOTRON","")&amp;
IF(INT((ROW(D188)-10)/30)+1=5,"FOLIA","")&amp;
IF(INT((ROW(D188)-10)/30)+1=6,"SEEDLE","")&amp;
IF(INT((ROW(D188)-10)/30)+1=7,"CAM","")&amp;
IF(INT((ROW(D188)-10)/30)+1=8,"SCANOPY","") &amp; "_ChkB_RemoteUpdate"),
INDIRECT(
IF(INT((ROW(D188)-10)/30)+1=1,"DENDRO","")&amp;
IF(INT((ROW(D188)-10)/30)+1=2,"CELL","")&amp;
IF(INT((ROW(D188)-10)/30)+1=3,"RHIZO","")&amp;
IF(INT((ROW(D188)-10)/30)+1=4,"RHIZOTRON","")&amp;
IF(INT((ROW(D188)-10)/30)+1=5,"FOLIA","")&amp;
IF(INT((ROW(D188)-10)/30)+1=6,"SEEDLE","")&amp;
IF(INT((ROW(D188)-10)/30)+1=7,"CAM","")&amp;
IF(INT((ROW(D188)-10)/30)+1=8,"SCANOPY","") &amp; "_ChkBox_UpgradeUpdate")),
"Clé de bois ou Download. Reprogrammation clé client",
"☐ " &amp; IF(AND(QUOTE_Split_SoftwareHardware,QUOTE_InternetDownload),"Man ds env. ""Documents"", Clé ds bulle collée sur env.","Reliée au Man"))</f>
        <v>☐ Reliée au Man</v>
      </c>
      <c r="K188" s="265"/>
      <c r="L188" s="223"/>
      <c r="M188" s="439"/>
      <c r="N188" s="380"/>
      <c r="O188" s="307"/>
      <c r="P188" s="215"/>
      <c r="Q188" s="215"/>
    </row>
    <row r="189" spans="1:17" ht="16.25" customHeight="1" x14ac:dyDescent="0.2">
      <c r="A189" s="421"/>
      <c r="B189" s="296"/>
      <c r="C189" s="904" t="str">
        <f>IF((CAM_N_UpgradeUpdate + CAM_N_Software ) = 2,"",LEFT(INDEX(CAM_SoftwareFullNames,CAM_IndexSoftware),FIND(" ",INDEX(CAM_SoftwareFullNames,CAM_IndexSoftware),FIND(" ",INDEX(CAM_SoftwareFullNames,CAM_IndexSoftware))+6)) &amp;
CAM_YearMostRecent )</f>
        <v/>
      </c>
      <c r="D189" s="904"/>
      <c r="E189" s="304"/>
      <c r="F189" s="304"/>
      <c r="G189" s="275"/>
      <c r="H189" s="261"/>
      <c r="I189" s="261"/>
      <c r="J189" s="275" t="str">
        <f>IF(CAM_N_System-1&gt;=((ROW(G189)-ROW($G$189))/4+1),IF(CAM_IndexScanner=1,"STD4800",IF(CAM_IndexScanner=2,"LA2400","LC4800P")) &amp; " System"&amp; IF(AND(CAM_ClientWithOrWithoutScanner=2,CAM_N_System&gt;1)," Sans Scanner"," Avec Scanner"),
IF(AND(CAM_N_Software&gt;CAM_N_System,CAM_N_Software-1&gt;=((ROW(G189)-ROW($G$189))/4+1)),IF(N_SystemTotal=0,"Software Only",IF(N_STDScanners+N_LAScanners+N_LCScanners=0,"Software Sans Scanner","Software Avec Scanner")),
IF(CAM_N_UpgradeUpdate-1&gt;=((ROW(G189)-ROW($G$189))/4+1)-(MAX(CAM_N_System,CAM_N_Software)-1),"Update","")))</f>
        <v/>
      </c>
      <c r="K189" s="261"/>
      <c r="L189" s="260"/>
      <c r="M189" s="260"/>
      <c r="N189" s="260"/>
      <c r="O189" s="215"/>
      <c r="P189" s="215"/>
      <c r="Q189" s="215"/>
    </row>
    <row r="190" spans="1:17" ht="24" customHeight="1" x14ac:dyDescent="0.2">
      <c r="A190" s="434" t="s">
        <v>258</v>
      </c>
      <c r="B190" s="287" t="s">
        <v>258</v>
      </c>
      <c r="C190" s="378" t="str">
        <f>IF(AND(QUOTE_Split_SoftwareHardware,QUOTE_InternetDownload),"",
"☐☐ Win" &amp;
IF(INT((ROW(D190)-10)/30)+1=1,"DEN","")&amp;
IF(INT((ROW(D190)-10)/30)+1=2,"CEL","")&amp;
IF(INT((ROW(D190)-10)/30)+1=3,"RHI","")&amp;
IF(INT((ROW(D190)-10)/30)+1=4,"RT","")&amp;
IF(INT((ROW(D190)-10)/30)+1=5,"FOL","")&amp;
IF(INT((ROW(D190)-10)/30)+1=6,"SEE","")&amp;
IF(INT((ROW(D190)-10)/30)+1=7,"CAM","")&amp;
IF(INT((ROW(D190)-10)/30)+1=8,"SCA","") &amp; ".exe")</f>
        <v>☐☐ WinCAM.exe</v>
      </c>
      <c r="D190" s="378" t="str">
        <f>IF(AND(QUOTE_Split_SoftwareHardware,QUOTE_InternetDownload),"",
 IF(N("If it is Cam, Do not Show XL")+AND(ROW(D190)&gt;=189,ROW(D190)&lt;=218),"","☐ XL" &amp;
IF(INT((ROW(D190)-10)/30)+1=1,"STEM","")&amp;
IF(INT((ROW(D190)-10)/30)+1=2,"Cell","")&amp;
IF(INT((ROW(D190)-10)/30)+1=3,"Rhizo","")&amp;
IF(INT((ROW(D190)-10)/30)+1=4,"RhizoT","")&amp;
IF(INT((ROW(D190)-10)/30)+1=5,"Folia","")&amp;
IF(INT((ROW(D190)-10)/30)+1=6,"Seedle","")&amp;
IF(INT((ROW(D190)-10)/30)+1=7,"Cam","")&amp;
IF(INT((ROW(D190)-10)/30)+1=8,"Scanopy","") &amp; ".xls"))</f>
        <v/>
      </c>
      <c r="E190" s="378" t="s">
        <v>299</v>
      </c>
      <c r="F190" s="379" t="s">
        <v>152</v>
      </c>
      <c r="G190" s="378" t="str">
        <f xml:space="preserve"> IF(N("If it is Cam, Do not Show XL")+AND(ROW(G190)&gt;=189,ROW(G190)&lt;=218),"","☐ XL Man")</f>
        <v/>
      </c>
      <c r="H190" s="379" t="s">
        <v>280</v>
      </c>
      <c r="I190" s="307" t="s">
        <v>274</v>
      </c>
      <c r="J190" s="379" t="str">
        <f>IF(N("Si OR dessous = vrai, pas de box")+OR(
N("1 OR Tron ou CELL")+OR(AND(ROW(E190)&gt;=39,ROW(E190)&lt;=68),AND(ROW(E190)&gt;=99,ROW(E190)&lt;=128)),
N("2 Pas de système scanopy and range opy")+AND(ROW(E190)&gt;=219,ROW(E190)&lt;=248,SCANOPY_N_System&lt;2),
N("3 Avec LC") + IF(AND(IF(PROD_MostPopularScanner="LC",1,0), NOT(AND(ROW(E190)&gt;=129,ROW(E190)&lt;=158)), NOT(AND(ROW(E190)&gt;=189,ROW(E190)&lt;=218))),1,0)
),"","☐ ")
&amp;
IF(N("If it's OPY, put OMount Manual instead")+
AND(ROW(D190)&gt;=219,ROW(D190)&lt;=248),
IF(SCANOPY_N_System&gt;1,
IF(SCANOPY_IndexScanner=1,"α" &amp; SCANOPY_CameraModel,SCANOPY_CameraModel_Mini) &amp; " Man",""),
IF(N("Empty si OR = true . . .If it is Cell or Tron, Do not Show Scanner related items + Hide if LC is favorite on unavailable product")+OR(
AND(ROW(E190)&gt;=39,ROW(E190)&lt;=68),
AND(ROW(E190)&gt;=99,ROW(E190)&lt;=128),
AND(IF(PROD_MostPopularScanner="LC",1,0), NOT(AND(ROW(E190)&gt;=129,ROW(E190)&lt;=158)), NOT(AND(ROW(E190)&gt;=189,ROW(E190)&lt;=218))),
0=1),
    "", IF(1=N("Si système a un scanner différent du Scanner populaire alors différent, sinon Scanner populaire")+AND(NOT(ISERROR(SEARCH("System",J189))),LEFT(J189,2)&lt;&gt;LEFT(PROD_MostPopularScanner,2)),
LEFT(J189,SEARCH("00",J189)-3),
PROD_MostPopularScanner) &amp; " Install Man"))</f>
        <v>☐ Scan. Install Man</v>
      </c>
      <c r="K190" s="378" t="str">
        <f>IF(N("If it is Cell or Tron or OPY, Do not Show Twain")+OR(AND(ROW(K190)&gt;=39,ROW(K190)&lt;=68),AND(ROW(K190)&gt;=99,ROW(K190)&lt;=128),AND(ROW(J190)&gt;=219,ROW(J190)&lt;=248)),"","☐ TWAIN")</f>
        <v>☐ TWAIN</v>
      </c>
      <c r="L190" s="379" t="str">
        <f>IF(AND(IF(PROD_MostPopularScanner="LC",1,0), NOT(AND(ROW(E190)&gt;=129,ROW(E190)&lt;=158)), NOT(AND(ROW(E190)&gt;=189,ROW(E190)&lt;=218))),"",
IF(N("Si OR dessous = vrai, pas de box")+OR(
N("1 OR Dendro+CELL, Tron+Folia,Cam")+OR(
AND(ROW(K190)&gt;=9,ROW(K190)&lt;=68),
AND(ROW(K190)&gt;=99,ROW(K190)&lt;=158),
AND(ROW(K190)&gt;=189,ROW(K190)&lt;=218)),
N("2 Pas de système scanopy and range opy")+AND(ROW(K190)&gt;=219,ROW(K190)&lt;=248,SCANOPY_N_System&lt;2),
N("3 Avec LC")&amp;IF(ISERROR(LEFT(J189,SEARCH("00",J189)-3)),"",LEFT(J189,SEARCH("00",J189)-3))="LC"),"","☐ ")
&amp;
IF(N("If it's OPY, put OMount Manual instead")+
AND(ROW(J190)&gt;=219,ROW(J190)&lt;=248),
IF(SCANOPY_N_System&gt;1,"OMount Man",""),
IF(N("If it is Dendro+CELL, Tron+Folia or Cam, Do not Show Scanner related items+No Video if LC")+OR(
AND(ROW(K190)&gt;=9,ROW(K190)&lt;=68),
AND(ROW(K190)&gt;=99,ROW(K190)&lt;=158),
AND(ROW(K190)&gt;=189,ROW(K190)&lt;=218),
IF(ISERROR(LEFT(J189,SEARCH("00",J189)-3)),"",LEFT(J189,SEARCH("00",J189)-3))="LC"),
    "", "Video " &amp; IF(1=N("Si système a un scanner différent du Scanner populaire alors différent, sinon Scanner populaire")+AND(NOT(ISERROR(SEARCH("System",J189))),LEFT(J189,2)&lt;&gt;LEFT(PROD_MostPopularScanner,2)),
LEFT(J189,SEARCH("00",J189)-3),
PROD_MostPopularScanner) &amp; " Install"))
)</f>
        <v/>
      </c>
      <c r="M190" s="378" t="str">
        <f>IF(N("If it is Dendro or Tron, Do not Show Color Analysis Video")+
OR(AND(ROW(L190)&gt;=9,ROW(L190)&lt;=38),
AND(ROW(L190)&gt;=99,ROW(L190)&lt;=128)), "","☐ Video ClrAna")</f>
        <v>☐ Video ClrAna</v>
      </c>
      <c r="N190" s="379" t="str">
        <f>IF(OR(INT((ROW(D190)-10)/30)+1=2,INT((ROW(D190)-10)/30)+1=4),"","☐ ")&amp;
IF(INT((ROW(D190)-10)/30)+1=1,"Scanner.cal","")&amp;
IF(INT((ROW(D190)-10)/30)+1=2,"","")&amp;
IF(INT((ROW(D190)-10)/30)+1=3,"Scanner.cal","")&amp;
IF(INT((ROW(D190)-10)/30)+1=4,"","")&amp;
IF(INT((ROW(D190)-10)/30)+1=5,"Scanner.cal","")&amp;
IF(INT((ROW(D190)-10)/30)+1=6,"Scanner.cal","")&amp;
IF(INT((ROW(D190)-10)/30)+1=7,"Scanner.cal","")&amp;
IF(INT((ROW(D190)-10)/30)+1=8,"Indiv" &amp; " Lens.cal","")</f>
        <v>☐ Scanner.cal</v>
      </c>
      <c r="O190" s="307" t="str">
        <f>IF(AND(ROW(L190)&gt;=9,ROW(L190)&lt;=38),"☐ RegentTarget.blu","")</f>
        <v/>
      </c>
      <c r="P190" s="215"/>
      <c r="Q190" s="215"/>
    </row>
    <row r="191" spans="1:17" ht="24" customHeight="1" x14ac:dyDescent="0.2">
      <c r="A191" s="434" t="s">
        <v>259</v>
      </c>
      <c r="B191" s="224" t="s">
        <v>259</v>
      </c>
      <c r="C191" s="307" t="s">
        <v>152</v>
      </c>
      <c r="D191" s="307" t="str">
        <f xml:space="preserve"> IF(N("If it is Cam, Do not Show XL")+AND(ROW(D191)&gt;=189,ROW(D191)&lt;=218),"","☐ XL Man")</f>
        <v/>
      </c>
      <c r="E191" s="437" t="str">
        <f>IF(N("Si OR dessous = vrai, pas de box")+OR(
N("1 OR Tron ou CELL")+OR(AND(ROW(K190)&gt;=39,ROW(K190)&lt;=68),AND(ROW(K190)&gt;=99,ROW(K190)&lt;=128)),
N("2 Pas de système scanopy and range opy")+AND(ROW(K190)&gt;=219,ROW(K190)&lt;=248,SCANOPY_N_System&lt;2),
N("3 Avec LC")&amp;IF(ISERROR(LEFT(J189,SEARCH("00",J189)-3)),"",LEFT(J189,SEARCH("00",J189)-3))="LC"),"","☐ ")
&amp;
IF(N("If it's OPY, put OMount Manual instead")+
AND(ROW(J190)&gt;=219,ROW(J190)&lt;=248),
IF(SCANOPY_N_System&gt;1,"OMount Man",""),
IF(N("If it is Cell or Tron, Do not Show Scanner related items")+OR(
AND(ROW(K190)&gt;=39,ROW(K190)&lt;=68),
AND(ROW(K190)&gt;=99,ROW(K190)&lt;=128)),
    "", IF(1=N("Si système a un scanner différent du Scanner populaire alors différent, sinon Scanner populaire")+AND(NOT(ISERROR(SEARCH("System",J189))),LEFT(J189,2)&lt;&gt;LEFT(PROD_MostPopularScanner,2)),
LEFT(J189,SEARCH("00",J189)-3),
PROD_MostPopularScanner) &amp; " Install Man"))</f>
        <v>☐ Scan. Install Man</v>
      </c>
      <c r="F191" s="380" t="s">
        <v>275</v>
      </c>
      <c r="G191" s="307" t="s">
        <v>274</v>
      </c>
      <c r="H191" s="439" t="s">
        <v>250</v>
      </c>
      <c r="I191" s="381"/>
      <c r="J191" s="307" t="str">
        <f ca="1">IF(AND(
INDIRECT(
IF(INT((ROW(D191)-10)/30)+1=1,"DENDRO","")&amp;
IF(INT((ROW(D191)-10)/30)+1=2,"CELL","")&amp;
IF(INT((ROW(D191)-10)/30)+1=3,"RHIZO","")&amp;
IF(INT((ROW(D191)-10)/30)+1=4,"RHIZOTRON","")&amp;
IF(INT((ROW(D191)-10)/30)+1=5,"FOLIA","")&amp;
IF(INT((ROW(D191)-10)/30)+1=6,"SEEDLE","")&amp;
IF(INT((ROW(D191)-10)/30)+1=7,"CAM","")&amp;
IF(INT((ROW(D191)-10)/30)+1=8,"SCANOPY","") &amp; "_ChkB_RemoteUpdate"),
INDIRECT(
IF(INT((ROW(D191)-10)/30)+1=1,"DENDRO","")&amp;
IF(INT((ROW(D191)-10)/30)+1=2,"CELL","")&amp;
IF(INT((ROW(D191)-10)/30)+1=3,"RHIZO","")&amp;
IF(INT((ROW(D191)-10)/30)+1=4,"RHIZOTRON","")&amp;
IF(INT((ROW(D191)-10)/30)+1=5,"FOLIA","")&amp;
IF(INT((ROW(D191)-10)/30)+1=6,"SEEDLE","")&amp;
IF(INT((ROW(D191)-10)/30)+1=7,"CAM","")&amp;
IF(INT((ROW(D191)-10)/30)+1=8,"SCANOPY","") &amp; "_ChkBox_UpgradeUpdate")),
"Clé de bois ou Download. Reprogrammation clé client",
"☐ " &amp; IF(AND(QUOTE_Split_SoftwareHardware,QUOTE_InternetDownload),"Man ds env. ""Documents"", Clé ds bulle collée sur env.","Reliée au Man"))</f>
        <v>☐ Reliée au Man</v>
      </c>
      <c r="K191" s="265"/>
      <c r="L191" s="223"/>
      <c r="M191" s="439"/>
      <c r="N191" s="380"/>
      <c r="O191" s="307"/>
      <c r="P191" s="215"/>
      <c r="Q191" s="215"/>
    </row>
    <row r="192" spans="1:17" ht="16.25" customHeight="1" x14ac:dyDescent="0.2">
      <c r="A192" s="421"/>
      <c r="B192" s="296"/>
      <c r="C192" s="904" t="str">
        <f>IF((CAM_N_UpgradeUpdate + CAM_N_Software ) = 2,"",LEFT(INDEX(CAM_SoftwareFullNames,CAM_IndexSoftware),FIND(" ",INDEX(CAM_SoftwareFullNames,CAM_IndexSoftware),FIND(" ",INDEX(CAM_SoftwareFullNames,CAM_IndexSoftware))+6)) &amp;
CAM_YearMostRecent )</f>
        <v/>
      </c>
      <c r="D192" s="904"/>
      <c r="E192" s="304"/>
      <c r="F192" s="304"/>
      <c r="G192" s="275"/>
      <c r="H192" s="261"/>
      <c r="I192" s="261"/>
      <c r="J192" s="275" t="str">
        <f>IF(CAM_N_System-1&gt;=((ROW(G192)-ROW($G$189))/4+1),IF(CAM_IndexScanner=1,"STD4800",IF(CAM_IndexScanner=2,"LA2400","LC4800P")) &amp; " System"&amp; IF(AND(CAM_ClientWithOrWithoutScanner=2,CAM_N_System&gt;1)," Sans Scanner"," Avec Scanner"),
IF(AND(CAM_N_Software&gt;CAM_N_System,CAM_N_Software-1&gt;=((ROW(G192)-ROW($G$189))/4+1)),IF(N_SystemTotal=0,"Software Only",IF(N_STDScanners+N_LAScanners+N_LCScanners=0,"Software Sans Scanner","Software Avec Scanner")),
IF(CAM_N_UpgradeUpdate-1&gt;=((ROW(G192)-ROW($G$189))/4+1)-(MAX(CAM_N_System,CAM_N_Software)-1),"Update","")))</f>
        <v/>
      </c>
      <c r="K192" s="261"/>
      <c r="L192" s="260"/>
      <c r="M192" s="260"/>
      <c r="N192" s="260"/>
      <c r="O192" s="215"/>
      <c r="P192" s="215"/>
      <c r="Q192" s="215"/>
    </row>
    <row r="193" spans="1:17" ht="24" customHeight="1" x14ac:dyDescent="0.2">
      <c r="A193" s="434" t="s">
        <v>258</v>
      </c>
      <c r="B193" s="287" t="s">
        <v>258</v>
      </c>
      <c r="C193" s="378" t="str">
        <f>IF(AND(QUOTE_Split_SoftwareHardware,QUOTE_InternetDownload),"",
"☐☐ Win" &amp;
IF(INT((ROW(D193)-10)/30)+1=1,"DEN","")&amp;
IF(INT((ROW(D193)-10)/30)+1=2,"CEL","")&amp;
IF(INT((ROW(D193)-10)/30)+1=3,"RHI","")&amp;
IF(INT((ROW(D193)-10)/30)+1=4,"RT","")&amp;
IF(INT((ROW(D193)-10)/30)+1=5,"FOL","")&amp;
IF(INT((ROW(D193)-10)/30)+1=6,"SEE","")&amp;
IF(INT((ROW(D193)-10)/30)+1=7,"CAM","")&amp;
IF(INT((ROW(D193)-10)/30)+1=8,"SCA","") &amp; ".exe")</f>
        <v>☐☐ WinCAM.exe</v>
      </c>
      <c r="D193" s="378" t="str">
        <f>IF(AND(QUOTE_Split_SoftwareHardware,QUOTE_InternetDownload),"",
 IF(N("If it is Cam, Do not Show XL")+AND(ROW(D193)&gt;=189,ROW(D193)&lt;=218),"","☐ XL" &amp;
IF(INT((ROW(D193)-10)/30)+1=1,"STEM","")&amp;
IF(INT((ROW(D193)-10)/30)+1=2,"Cell","")&amp;
IF(INT((ROW(D193)-10)/30)+1=3,"Rhizo","")&amp;
IF(INT((ROW(D193)-10)/30)+1=4,"RhizoT","")&amp;
IF(INT((ROW(D193)-10)/30)+1=5,"Folia","")&amp;
IF(INT((ROW(D193)-10)/30)+1=6,"Seedle","")&amp;
IF(INT((ROW(D193)-10)/30)+1=7,"Cam","")&amp;
IF(INT((ROW(D193)-10)/30)+1=8,"Scanopy","") &amp; ".xls"))</f>
        <v/>
      </c>
      <c r="E193" s="378" t="s">
        <v>299</v>
      </c>
      <c r="F193" s="379" t="s">
        <v>152</v>
      </c>
      <c r="G193" s="378" t="str">
        <f xml:space="preserve"> IF(N("If it is Cam, Do not Show XL")+AND(ROW(G193)&gt;=189,ROW(G193)&lt;=218),"","☐ XL Man")</f>
        <v/>
      </c>
      <c r="H193" s="379" t="s">
        <v>280</v>
      </c>
      <c r="I193" s="307" t="s">
        <v>274</v>
      </c>
      <c r="J193" s="379" t="str">
        <f>IF(N("Si OR dessous = vrai, pas de box")+OR(
N("1 OR Tron ou CELL")+OR(AND(ROW(E193)&gt;=39,ROW(E193)&lt;=68),AND(ROW(E193)&gt;=99,ROW(E193)&lt;=128)),
N("2 Pas de système scanopy and range opy")+AND(ROW(E193)&gt;=219,ROW(E193)&lt;=248,SCANOPY_N_System&lt;2),
N("3 Avec LC") + IF(AND(IF(PROD_MostPopularScanner="LC",1,0), NOT(AND(ROW(E193)&gt;=129,ROW(E193)&lt;=158)), NOT(AND(ROW(E193)&gt;=189,ROW(E193)&lt;=218))),1,0)
),"","☐ ")
&amp;
IF(N("If it's OPY, put OMount Manual instead")+
AND(ROW(D193)&gt;=219,ROW(D193)&lt;=248),
IF(SCANOPY_N_System&gt;1,
IF(SCANOPY_IndexScanner=1,"α" &amp; SCANOPY_CameraModel,SCANOPY_CameraModel_Mini) &amp; " Man",""),
IF(N("Empty si OR = true . . .If it is Cell or Tron, Do not Show Scanner related items + Hide if LC is favorite on unavailable product")+OR(
AND(ROW(E193)&gt;=39,ROW(E193)&lt;=68),
AND(ROW(E193)&gt;=99,ROW(E193)&lt;=128),
AND(IF(PROD_MostPopularScanner="LC",1,0), NOT(AND(ROW(E193)&gt;=129,ROW(E193)&lt;=158)), NOT(AND(ROW(E193)&gt;=189,ROW(E193)&lt;=218))),
0=1),
    "", IF(1=N("Si système a un scanner différent du Scanner populaire alors différent, sinon Scanner populaire")+AND(NOT(ISERROR(SEARCH("System",J192))),LEFT(J192,2)&lt;&gt;LEFT(PROD_MostPopularScanner,2)),
LEFT(J192,SEARCH("00",J192)-3),
PROD_MostPopularScanner) &amp; " Install Man"))</f>
        <v>☐ Scan. Install Man</v>
      </c>
      <c r="K193" s="378" t="str">
        <f>IF(N("If it is Cell or Tron or OPY, Do not Show Twain")+OR(AND(ROW(K193)&gt;=39,ROW(K193)&lt;=68),AND(ROW(K193)&gt;=99,ROW(K193)&lt;=128),AND(ROW(J193)&gt;=219,ROW(J193)&lt;=248)),"","☐ TWAIN")</f>
        <v>☐ TWAIN</v>
      </c>
      <c r="L193" s="379" t="str">
        <f>IF(AND(IF(PROD_MostPopularScanner="LC",1,0), NOT(AND(ROW(E193)&gt;=129,ROW(E193)&lt;=158)), NOT(AND(ROW(E193)&gt;=189,ROW(E193)&lt;=218))),"",
IF(N("Si OR dessous = vrai, pas de box")+OR(
N("1 OR Dendro+CELL, Tron+Folia,Cam")+OR(
AND(ROW(K193)&gt;=9,ROW(K193)&lt;=68),
AND(ROW(K193)&gt;=99,ROW(K193)&lt;=158),
AND(ROW(K193)&gt;=189,ROW(K193)&lt;=218)),
N("2 Pas de système scanopy and range opy")+AND(ROW(K193)&gt;=219,ROW(K193)&lt;=248,SCANOPY_N_System&lt;2),
N("3 Avec LC")&amp;IF(ISERROR(LEFT(J192,SEARCH("00",J192)-3)),"",LEFT(J192,SEARCH("00",J192)-3))="LC"),"","☐ ")
&amp;
IF(N("If it's OPY, put OMount Manual instead")+
AND(ROW(J193)&gt;=219,ROW(J193)&lt;=248),
IF(SCANOPY_N_System&gt;1,"OMount Man",""),
IF(N("If it is Dendro+CELL, Tron+Folia or Cam, Do not Show Scanner related items+No Video if LC")+OR(
AND(ROW(K193)&gt;=9,ROW(K193)&lt;=68),
AND(ROW(K193)&gt;=99,ROW(K193)&lt;=158),
AND(ROW(K193)&gt;=189,ROW(K193)&lt;=218),
IF(ISERROR(LEFT(J192,SEARCH("00",J192)-3)),"",LEFT(J192,SEARCH("00",J192)-3))="LC"),
    "", "Video " &amp; IF(1=N("Si système a un scanner différent du Scanner populaire alors différent, sinon Scanner populaire")+AND(NOT(ISERROR(SEARCH("System",J192))),LEFT(J192,2)&lt;&gt;LEFT(PROD_MostPopularScanner,2)),
LEFT(J192,SEARCH("00",J192)-3),
PROD_MostPopularScanner) &amp; " Install"))
)</f>
        <v/>
      </c>
      <c r="M193" s="378" t="str">
        <f>IF(N("If it is Dendro or Tron, Do not Show Color Analysis Video")+
OR(AND(ROW(L193)&gt;=9,ROW(L193)&lt;=38),
AND(ROW(L193)&gt;=99,ROW(L193)&lt;=128)), "","☐ Video ClrAna")</f>
        <v>☐ Video ClrAna</v>
      </c>
      <c r="N193" s="379" t="str">
        <f>IF(OR(INT((ROW(D193)-10)/30)+1=2,INT((ROW(D193)-10)/30)+1=4),"","☐ ")&amp;
IF(INT((ROW(D193)-10)/30)+1=1,"Scanner.cal","")&amp;
IF(INT((ROW(D193)-10)/30)+1=2,"","")&amp;
IF(INT((ROW(D193)-10)/30)+1=3,"Scanner.cal","")&amp;
IF(INT((ROW(D193)-10)/30)+1=4,"","")&amp;
IF(INT((ROW(D193)-10)/30)+1=5,"Scanner.cal","")&amp;
IF(INT((ROW(D193)-10)/30)+1=6,"Scanner.cal","")&amp;
IF(INT((ROW(D193)-10)/30)+1=7,"Scanner.cal","")&amp;
IF(INT((ROW(D193)-10)/30)+1=8,"Indiv" &amp; " Lens.cal","")</f>
        <v>☐ Scanner.cal</v>
      </c>
      <c r="O193" s="307" t="str">
        <f>IF(AND(ROW(L193)&gt;=9,ROW(L193)&lt;=38),"☐ RegentTarget.blu","")</f>
        <v/>
      </c>
      <c r="P193" s="215"/>
      <c r="Q193" s="215"/>
    </row>
    <row r="194" spans="1:17" ht="24" customHeight="1" x14ac:dyDescent="0.2">
      <c r="A194" s="434" t="s">
        <v>259</v>
      </c>
      <c r="B194" s="224" t="s">
        <v>259</v>
      </c>
      <c r="C194" s="307" t="s">
        <v>152</v>
      </c>
      <c r="D194" s="307" t="str">
        <f xml:space="preserve"> IF(N("If it is Cam, Do not Show XL")+AND(ROW(D194)&gt;=189,ROW(D194)&lt;=218),"","☐ XL Man")</f>
        <v/>
      </c>
      <c r="E194" s="437" t="str">
        <f>IF(N("Si OR dessous = vrai, pas de box")+OR(
N("1 OR Tron ou CELL")+OR(AND(ROW(K193)&gt;=39,ROW(K193)&lt;=68),AND(ROW(K193)&gt;=99,ROW(K193)&lt;=128)),
N("2 Pas de système scanopy and range opy")+AND(ROW(K193)&gt;=219,ROW(K193)&lt;=248,SCANOPY_N_System&lt;2),
N("3 Avec LC")&amp;IF(ISERROR(LEFT(J192,SEARCH("00",J192)-3)),"",LEFT(J192,SEARCH("00",J192)-3))="LC"),"","☐ ")
&amp;
IF(N("If it's OPY, put OMount Manual instead")+
AND(ROW(J193)&gt;=219,ROW(J193)&lt;=248),
IF(SCANOPY_N_System&gt;1,"OMount Man",""),
IF(N("If it is Cell or Tron, Do not Show Scanner related items")+OR(
AND(ROW(K193)&gt;=39,ROW(K193)&lt;=68),
AND(ROW(K193)&gt;=99,ROW(K193)&lt;=128)),
    "", IF(1=N("Si système a un scanner différent du Scanner populaire alors différent, sinon Scanner populaire")+AND(NOT(ISERROR(SEARCH("System",J192))),LEFT(J192,2)&lt;&gt;LEFT(PROD_MostPopularScanner,2)),
LEFT(J192,SEARCH("00",J192)-3),
PROD_MostPopularScanner) &amp; " Install Man"))</f>
        <v>☐ Scan. Install Man</v>
      </c>
      <c r="F194" s="380" t="s">
        <v>275</v>
      </c>
      <c r="G194" s="307" t="s">
        <v>274</v>
      </c>
      <c r="H194" s="439" t="s">
        <v>250</v>
      </c>
      <c r="I194" s="381"/>
      <c r="J194" s="307" t="str">
        <f ca="1">IF(AND(
INDIRECT(
IF(INT((ROW(D194)-10)/30)+1=1,"DENDRO","")&amp;
IF(INT((ROW(D194)-10)/30)+1=2,"CELL","")&amp;
IF(INT((ROW(D194)-10)/30)+1=3,"RHIZO","")&amp;
IF(INT((ROW(D194)-10)/30)+1=4,"RHIZOTRON","")&amp;
IF(INT((ROW(D194)-10)/30)+1=5,"FOLIA","")&amp;
IF(INT((ROW(D194)-10)/30)+1=6,"SEEDLE","")&amp;
IF(INT((ROW(D194)-10)/30)+1=7,"CAM","")&amp;
IF(INT((ROW(D194)-10)/30)+1=8,"SCANOPY","") &amp; "_ChkB_RemoteUpdate"),
INDIRECT(
IF(INT((ROW(D194)-10)/30)+1=1,"DENDRO","")&amp;
IF(INT((ROW(D194)-10)/30)+1=2,"CELL","")&amp;
IF(INT((ROW(D194)-10)/30)+1=3,"RHIZO","")&amp;
IF(INT((ROW(D194)-10)/30)+1=4,"RHIZOTRON","")&amp;
IF(INT((ROW(D194)-10)/30)+1=5,"FOLIA","")&amp;
IF(INT((ROW(D194)-10)/30)+1=6,"SEEDLE","")&amp;
IF(INT((ROW(D194)-10)/30)+1=7,"CAM","")&amp;
IF(INT((ROW(D194)-10)/30)+1=8,"SCANOPY","") &amp; "_ChkBox_UpgradeUpdate")),
"Clé de bois ou Download. Reprogrammation clé client",
"☐ " &amp; IF(AND(QUOTE_Split_SoftwareHardware,QUOTE_InternetDownload),"Man ds env. ""Documents"", Clé ds bulle collée sur env.","Reliée au Man"))</f>
        <v>☐ Reliée au Man</v>
      </c>
      <c r="K194" s="265"/>
      <c r="L194" s="223"/>
      <c r="M194" s="439"/>
      <c r="N194" s="380"/>
      <c r="O194" s="307"/>
      <c r="P194" s="215"/>
      <c r="Q194" s="215"/>
    </row>
    <row r="195" spans="1:17" ht="16.25" customHeight="1" x14ac:dyDescent="0.2">
      <c r="A195" s="421"/>
      <c r="B195" s="296"/>
      <c r="C195" s="904" t="str">
        <f>IF((CAM_N_UpgradeUpdate + CAM_N_Software ) = 2,"",LEFT(INDEX(CAM_SoftwareFullNames,CAM_IndexSoftware),FIND(" ",INDEX(CAM_SoftwareFullNames,CAM_IndexSoftware),FIND(" ",INDEX(CAM_SoftwareFullNames,CAM_IndexSoftware))+6)) &amp;
CAM_YearMostRecent )</f>
        <v/>
      </c>
      <c r="D195" s="904"/>
      <c r="E195" s="304"/>
      <c r="F195" s="304"/>
      <c r="G195" s="275"/>
      <c r="H195" s="261"/>
      <c r="I195" s="261"/>
      <c r="J195" s="275" t="str">
        <f>IF(CAM_N_System-1&gt;=((ROW(G195)-ROW($G$189))/4+1),IF(CAM_IndexScanner=1,"STD4800",IF(CAM_IndexScanner=2,"LA2400","LC4800P")) &amp; " System"&amp; IF(AND(CAM_ClientWithOrWithoutScanner=2,CAM_N_System&gt;1)," Sans Scanner"," Avec Scanner"),
IF(AND(CAM_N_Software&gt;CAM_N_System,CAM_N_Software-1&gt;=((ROW(G195)-ROW($G$189))/4+1)),IF(N_SystemTotal=0,"Software Only",IF(N_STDScanners+N_LAScanners+N_LCScanners=0,"Software Sans Scanner","Software Avec Scanner")),
IF(CAM_N_UpgradeUpdate-1&gt;=((ROW(G195)-ROW($G$189))/4+1)-(MAX(CAM_N_System,CAM_N_Software)-1),"Update","")))</f>
        <v/>
      </c>
      <c r="K195" s="261"/>
      <c r="L195" s="260"/>
      <c r="M195" s="260"/>
      <c r="N195" s="260"/>
      <c r="O195" s="215"/>
      <c r="P195" s="215"/>
      <c r="Q195" s="215"/>
    </row>
    <row r="196" spans="1:17" ht="24" customHeight="1" x14ac:dyDescent="0.2">
      <c r="A196" s="434" t="s">
        <v>258</v>
      </c>
      <c r="B196" s="287" t="s">
        <v>258</v>
      </c>
      <c r="C196" s="378" t="str">
        <f>IF(AND(QUOTE_Split_SoftwareHardware,QUOTE_InternetDownload),"",
"☐☐ Win" &amp;
IF(INT((ROW(D196)-10)/30)+1=1,"DEN","")&amp;
IF(INT((ROW(D196)-10)/30)+1=2,"CEL","")&amp;
IF(INT((ROW(D196)-10)/30)+1=3,"RHI","")&amp;
IF(INT((ROW(D196)-10)/30)+1=4,"RT","")&amp;
IF(INT((ROW(D196)-10)/30)+1=5,"FOL","")&amp;
IF(INT((ROW(D196)-10)/30)+1=6,"SEE","")&amp;
IF(INT((ROW(D196)-10)/30)+1=7,"CAM","")&amp;
IF(INT((ROW(D196)-10)/30)+1=8,"SCA","") &amp; ".exe")</f>
        <v>☐☐ WinCAM.exe</v>
      </c>
      <c r="D196" s="378" t="str">
        <f>IF(AND(QUOTE_Split_SoftwareHardware,QUOTE_InternetDownload),"",
 IF(N("If it is Cam, Do not Show XL")+AND(ROW(D196)&gt;=189,ROW(D196)&lt;=218),"","☐ XL" &amp;
IF(INT((ROW(D196)-10)/30)+1=1,"STEM","")&amp;
IF(INT((ROW(D196)-10)/30)+1=2,"Cell","")&amp;
IF(INT((ROW(D196)-10)/30)+1=3,"Rhizo","")&amp;
IF(INT((ROW(D196)-10)/30)+1=4,"RhizoT","")&amp;
IF(INT((ROW(D196)-10)/30)+1=5,"Folia","")&amp;
IF(INT((ROW(D196)-10)/30)+1=6,"Seedle","")&amp;
IF(INT((ROW(D196)-10)/30)+1=7,"Cam","")&amp;
IF(INT((ROW(D196)-10)/30)+1=8,"Scanopy","") &amp; ".xls"))</f>
        <v/>
      </c>
      <c r="E196" s="378" t="s">
        <v>299</v>
      </c>
      <c r="F196" s="379" t="s">
        <v>152</v>
      </c>
      <c r="G196" s="378" t="str">
        <f xml:space="preserve"> IF(N("If it is Cam, Do not Show XL")+AND(ROW(G196)&gt;=189,ROW(G196)&lt;=218),"","☐ XL Man")</f>
        <v/>
      </c>
      <c r="H196" s="379" t="s">
        <v>280</v>
      </c>
      <c r="I196" s="307" t="s">
        <v>274</v>
      </c>
      <c r="J196" s="379" t="str">
        <f>IF(N("Si OR dessous = vrai, pas de box")+OR(
N("1 OR Tron ou CELL")+OR(AND(ROW(E196)&gt;=39,ROW(E196)&lt;=68),AND(ROW(E196)&gt;=99,ROW(E196)&lt;=128)),
N("2 Pas de système scanopy and range opy")+AND(ROW(E196)&gt;=219,ROW(E196)&lt;=248,SCANOPY_N_System&lt;2),
N("3 Avec LC") + IF(AND(IF(PROD_MostPopularScanner="LC",1,0), NOT(AND(ROW(E196)&gt;=129,ROW(E196)&lt;=158)), NOT(AND(ROW(E196)&gt;=189,ROW(E196)&lt;=218))),1,0)
),"","☐ ")
&amp;
IF(N("If it's OPY, put OMount Manual instead")+
AND(ROW(D196)&gt;=219,ROW(D196)&lt;=248),
IF(SCANOPY_N_System&gt;1,
IF(SCANOPY_IndexScanner=1,"α" &amp; SCANOPY_CameraModel,SCANOPY_CameraModel_Mini) &amp; " Man",""),
IF(N("Empty si OR = true . . .If it is Cell or Tron, Do not Show Scanner related items + Hide if LC is favorite on unavailable product")+OR(
AND(ROW(E196)&gt;=39,ROW(E196)&lt;=68),
AND(ROW(E196)&gt;=99,ROW(E196)&lt;=128),
AND(IF(PROD_MostPopularScanner="LC",1,0), NOT(AND(ROW(E196)&gt;=129,ROW(E196)&lt;=158)), NOT(AND(ROW(E196)&gt;=189,ROW(E196)&lt;=218))),
0=1),
    "", IF(1=N("Si système a un scanner différent du Scanner populaire alors différent, sinon Scanner populaire")+AND(NOT(ISERROR(SEARCH("System",J195))),LEFT(J195,2)&lt;&gt;LEFT(PROD_MostPopularScanner,2)),
LEFT(J195,SEARCH("00",J195)-3),
PROD_MostPopularScanner) &amp; " Install Man"))</f>
        <v>☐ Scan. Install Man</v>
      </c>
      <c r="K196" s="378" t="str">
        <f>IF(N("If it is Cell or Tron or OPY, Do not Show Twain")+OR(AND(ROW(K196)&gt;=39,ROW(K196)&lt;=68),AND(ROW(K196)&gt;=99,ROW(K196)&lt;=128),AND(ROW(J196)&gt;=219,ROW(J196)&lt;=248)),"","☐ TWAIN")</f>
        <v>☐ TWAIN</v>
      </c>
      <c r="L196" s="379" t="str">
        <f>IF(AND(IF(PROD_MostPopularScanner="LC",1,0), NOT(AND(ROW(E196)&gt;=129,ROW(E196)&lt;=158)), NOT(AND(ROW(E196)&gt;=189,ROW(E196)&lt;=218))),"",
IF(N("Si OR dessous = vrai, pas de box")+OR(
N("1 OR Dendro+CELL, Tron+Folia,Cam")+OR(
AND(ROW(K196)&gt;=9,ROW(K196)&lt;=68),
AND(ROW(K196)&gt;=99,ROW(K196)&lt;=158),
AND(ROW(K196)&gt;=189,ROW(K196)&lt;=218)),
N("2 Pas de système scanopy and range opy")+AND(ROW(K196)&gt;=219,ROW(K196)&lt;=248,SCANOPY_N_System&lt;2),
N("3 Avec LC")&amp;IF(ISERROR(LEFT(J195,SEARCH("00",J195)-3)),"",LEFT(J195,SEARCH("00",J195)-3))="LC"),"","☐ ")
&amp;
IF(N("If it's OPY, put OMount Manual instead")+
AND(ROW(J196)&gt;=219,ROW(J196)&lt;=248),
IF(SCANOPY_N_System&gt;1,"OMount Man",""),
IF(N("If it is Dendro+CELL, Tron+Folia or Cam, Do not Show Scanner related items+No Video if LC")+OR(
AND(ROW(K196)&gt;=9,ROW(K196)&lt;=68),
AND(ROW(K196)&gt;=99,ROW(K196)&lt;=158),
AND(ROW(K196)&gt;=189,ROW(K196)&lt;=218),
IF(ISERROR(LEFT(J195,SEARCH("00",J195)-3)),"",LEFT(J195,SEARCH("00",J195)-3))="LC"),
    "", "Video " &amp; IF(1=N("Si système a un scanner différent du Scanner populaire alors différent, sinon Scanner populaire")+AND(NOT(ISERROR(SEARCH("System",J195))),LEFT(J195,2)&lt;&gt;LEFT(PROD_MostPopularScanner,2)),
LEFT(J195,SEARCH("00",J195)-3),
PROD_MostPopularScanner) &amp; " Install"))
)</f>
        <v/>
      </c>
      <c r="M196" s="378" t="str">
        <f>IF(N("If it is Dendro or Tron, Do not Show Color Analysis Video")+
OR(AND(ROW(L196)&gt;=9,ROW(L196)&lt;=38),
AND(ROW(L196)&gt;=99,ROW(L196)&lt;=128)), "","☐ Video ClrAna")</f>
        <v>☐ Video ClrAna</v>
      </c>
      <c r="N196" s="379" t="str">
        <f>IF(OR(INT((ROW(D196)-10)/30)+1=2,INT((ROW(D196)-10)/30)+1=4),"","☐ ")&amp;
IF(INT((ROW(D196)-10)/30)+1=1,"Scanner.cal","")&amp;
IF(INT((ROW(D196)-10)/30)+1=2,"","")&amp;
IF(INT((ROW(D196)-10)/30)+1=3,"Scanner.cal","")&amp;
IF(INT((ROW(D196)-10)/30)+1=4,"","")&amp;
IF(INT((ROW(D196)-10)/30)+1=5,"Scanner.cal","")&amp;
IF(INT((ROW(D196)-10)/30)+1=6,"Scanner.cal","")&amp;
IF(INT((ROW(D196)-10)/30)+1=7,"Scanner.cal","")&amp;
IF(INT((ROW(D196)-10)/30)+1=8,"Indiv" &amp; " Lens.cal","")</f>
        <v>☐ Scanner.cal</v>
      </c>
      <c r="O196" s="307" t="str">
        <f>IF(AND(ROW(L196)&gt;=9,ROW(L196)&lt;=38),"☐ RegentTarget.blu","")</f>
        <v/>
      </c>
      <c r="P196" s="215"/>
      <c r="Q196" s="215"/>
    </row>
    <row r="197" spans="1:17" ht="24" customHeight="1" x14ac:dyDescent="0.2">
      <c r="A197" s="434" t="s">
        <v>259</v>
      </c>
      <c r="B197" s="224" t="s">
        <v>259</v>
      </c>
      <c r="C197" s="307" t="s">
        <v>152</v>
      </c>
      <c r="D197" s="307" t="str">
        <f xml:space="preserve"> IF(N("If it is Cam, Do not Show XL")+AND(ROW(D197)&gt;=189,ROW(D197)&lt;=218),"","☐ XL Man")</f>
        <v/>
      </c>
      <c r="E197" s="437" t="str">
        <f>IF(N("Si OR dessous = vrai, pas de box")+OR(
N("1 OR Tron ou CELL")+OR(AND(ROW(K196)&gt;=39,ROW(K196)&lt;=68),AND(ROW(K196)&gt;=99,ROW(K196)&lt;=128)),
N("2 Pas de système scanopy and range opy")+AND(ROW(K196)&gt;=219,ROW(K196)&lt;=248,SCANOPY_N_System&lt;2),
N("3 Avec LC")&amp;IF(ISERROR(LEFT(J195,SEARCH("00",J195)-3)),"",LEFT(J195,SEARCH("00",J195)-3))="LC"),"","☐ ")
&amp;
IF(N("If it's OPY, put OMount Manual instead")+
AND(ROW(J196)&gt;=219,ROW(J196)&lt;=248),
IF(SCANOPY_N_System&gt;1,"OMount Man",""),
IF(N("If it is Cell or Tron, Do not Show Scanner related items")+OR(
AND(ROW(K196)&gt;=39,ROW(K196)&lt;=68),
AND(ROW(K196)&gt;=99,ROW(K196)&lt;=128)),
    "", IF(1=N("Si système a un scanner différent du Scanner populaire alors différent, sinon Scanner populaire")+AND(NOT(ISERROR(SEARCH("System",J195))),LEFT(J195,2)&lt;&gt;LEFT(PROD_MostPopularScanner,2)),
LEFT(J195,SEARCH("00",J195)-3),
PROD_MostPopularScanner) &amp; " Install Man"))</f>
        <v>☐ Scan. Install Man</v>
      </c>
      <c r="F197" s="380" t="s">
        <v>275</v>
      </c>
      <c r="G197" s="307" t="s">
        <v>274</v>
      </c>
      <c r="H197" s="439" t="s">
        <v>250</v>
      </c>
      <c r="I197" s="381"/>
      <c r="J197" s="307" t="str">
        <f ca="1">IF(AND(
INDIRECT(
IF(INT((ROW(D197)-10)/30)+1=1,"DENDRO","")&amp;
IF(INT((ROW(D197)-10)/30)+1=2,"CELL","")&amp;
IF(INT((ROW(D197)-10)/30)+1=3,"RHIZO","")&amp;
IF(INT((ROW(D197)-10)/30)+1=4,"RHIZOTRON","")&amp;
IF(INT((ROW(D197)-10)/30)+1=5,"FOLIA","")&amp;
IF(INT((ROW(D197)-10)/30)+1=6,"SEEDLE","")&amp;
IF(INT((ROW(D197)-10)/30)+1=7,"CAM","")&amp;
IF(INT((ROW(D197)-10)/30)+1=8,"SCANOPY","") &amp; "_ChkB_RemoteUpdate"),
INDIRECT(
IF(INT((ROW(D197)-10)/30)+1=1,"DENDRO","")&amp;
IF(INT((ROW(D197)-10)/30)+1=2,"CELL","")&amp;
IF(INT((ROW(D197)-10)/30)+1=3,"RHIZO","")&amp;
IF(INT((ROW(D197)-10)/30)+1=4,"RHIZOTRON","")&amp;
IF(INT((ROW(D197)-10)/30)+1=5,"FOLIA","")&amp;
IF(INT((ROW(D197)-10)/30)+1=6,"SEEDLE","")&amp;
IF(INT((ROW(D197)-10)/30)+1=7,"CAM","")&amp;
IF(INT((ROW(D197)-10)/30)+1=8,"SCANOPY","") &amp; "_ChkBox_UpgradeUpdate")),
"Clé de bois ou Download. Reprogrammation clé client",
"☐ " &amp; IF(AND(QUOTE_Split_SoftwareHardware,QUOTE_InternetDownload),"Man ds env. ""Documents"", Clé ds bulle collée sur env.","Reliée au Man"))</f>
        <v>☐ Reliée au Man</v>
      </c>
      <c r="K197" s="265"/>
      <c r="L197" s="223"/>
      <c r="M197" s="439"/>
      <c r="N197" s="380"/>
      <c r="O197" s="307"/>
      <c r="P197" s="215"/>
      <c r="Q197" s="215"/>
    </row>
    <row r="198" spans="1:17" ht="16.25" customHeight="1" x14ac:dyDescent="0.2">
      <c r="A198" s="421"/>
      <c r="B198" s="296"/>
      <c r="C198" s="904" t="str">
        <f>IF((CAM_N_UpgradeUpdate + CAM_N_Software ) = 2,"",LEFT(INDEX(CAM_SoftwareFullNames,CAM_IndexSoftware),FIND(" ",INDEX(CAM_SoftwareFullNames,CAM_IndexSoftware),FIND(" ",INDEX(CAM_SoftwareFullNames,CAM_IndexSoftware))+6)) &amp;
CAM_YearMostRecent )</f>
        <v/>
      </c>
      <c r="D198" s="904"/>
      <c r="E198" s="304"/>
      <c r="F198" s="304"/>
      <c r="G198" s="275"/>
      <c r="H198" s="261"/>
      <c r="I198" s="261"/>
      <c r="J198" s="275" t="str">
        <f>IF(CAM_N_System-1&gt;=((ROW(G198)-ROW($G$189))/4+1),IF(CAM_IndexScanner=1,"STD4800",IF(CAM_IndexScanner=2,"LA2400","LC4800P")) &amp; " System"&amp; IF(AND(CAM_ClientWithOrWithoutScanner=2,CAM_N_System&gt;1)," Sans Scanner"," Avec Scanner"),
IF(AND(CAM_N_Software&gt;CAM_N_System,CAM_N_Software-1&gt;=((ROW(G198)-ROW($G$189))/4+1)),IF(N_SystemTotal=0,"Software Only",IF(N_STDScanners+N_LAScanners+N_LCScanners=0,"Software Sans Scanner","Software Avec Scanner")),
IF(CAM_N_UpgradeUpdate-1&gt;=((ROW(G198)-ROW($G$189))/4+1)-(MAX(CAM_N_System,CAM_N_Software)-1),"Update","")))</f>
        <v/>
      </c>
      <c r="K198" s="261"/>
      <c r="L198" s="260"/>
      <c r="M198" s="260"/>
      <c r="N198" s="260"/>
      <c r="O198" s="215"/>
      <c r="P198" s="215"/>
      <c r="Q198" s="215"/>
    </row>
    <row r="199" spans="1:17" ht="24" customHeight="1" x14ac:dyDescent="0.2">
      <c r="A199" s="434" t="s">
        <v>258</v>
      </c>
      <c r="B199" s="287" t="s">
        <v>258</v>
      </c>
      <c r="C199" s="378" t="str">
        <f>IF(AND(QUOTE_Split_SoftwareHardware,QUOTE_InternetDownload),"",
"☐☐ Win" &amp;
IF(INT((ROW(D199)-10)/30)+1=1,"DEN","")&amp;
IF(INT((ROW(D199)-10)/30)+1=2,"CEL","")&amp;
IF(INT((ROW(D199)-10)/30)+1=3,"RHI","")&amp;
IF(INT((ROW(D199)-10)/30)+1=4,"RT","")&amp;
IF(INT((ROW(D199)-10)/30)+1=5,"FOL","")&amp;
IF(INT((ROW(D199)-10)/30)+1=6,"SEE","")&amp;
IF(INT((ROW(D199)-10)/30)+1=7,"CAM","")&amp;
IF(INT((ROW(D199)-10)/30)+1=8,"SCA","") &amp; ".exe")</f>
        <v>☐☐ WinCAM.exe</v>
      </c>
      <c r="D199" s="378" t="str">
        <f>IF(AND(QUOTE_Split_SoftwareHardware,QUOTE_InternetDownload),"",
 IF(N("If it is Cam, Do not Show XL")+AND(ROW(D199)&gt;=189,ROW(D199)&lt;=218),"","☐ XL" &amp;
IF(INT((ROW(D199)-10)/30)+1=1,"STEM","")&amp;
IF(INT((ROW(D199)-10)/30)+1=2,"Cell","")&amp;
IF(INT((ROW(D199)-10)/30)+1=3,"Rhizo","")&amp;
IF(INT((ROW(D199)-10)/30)+1=4,"RhizoT","")&amp;
IF(INT((ROW(D199)-10)/30)+1=5,"Folia","")&amp;
IF(INT((ROW(D199)-10)/30)+1=6,"Seedle","")&amp;
IF(INT((ROW(D199)-10)/30)+1=7,"Cam","")&amp;
IF(INT((ROW(D199)-10)/30)+1=8,"Scanopy","") &amp; ".xls"))</f>
        <v/>
      </c>
      <c r="E199" s="378" t="s">
        <v>299</v>
      </c>
      <c r="F199" s="379" t="s">
        <v>152</v>
      </c>
      <c r="G199" s="378" t="str">
        <f xml:space="preserve"> IF(N("If it is Cam, Do not Show XL")+AND(ROW(G199)&gt;=189,ROW(G199)&lt;=218),"","☐ XL Man")</f>
        <v/>
      </c>
      <c r="H199" s="379" t="s">
        <v>280</v>
      </c>
      <c r="I199" s="307" t="s">
        <v>274</v>
      </c>
      <c r="J199" s="379" t="str">
        <f>IF(N("Si OR dessous = vrai, pas de box")+OR(
N("1 OR Tron ou CELL")+OR(AND(ROW(E199)&gt;=39,ROW(E199)&lt;=68),AND(ROW(E199)&gt;=99,ROW(E199)&lt;=128)),
N("2 Pas de système scanopy and range opy")+AND(ROW(E199)&gt;=219,ROW(E199)&lt;=248,SCANOPY_N_System&lt;2),
N("3 Avec LC") + IF(AND(IF(PROD_MostPopularScanner="LC",1,0), NOT(AND(ROW(E199)&gt;=129,ROW(E199)&lt;=158)), NOT(AND(ROW(E199)&gt;=189,ROW(E199)&lt;=218))),1,0)
),"","☐ ")
&amp;
IF(N("If it's OPY, put OMount Manual instead")+
AND(ROW(D199)&gt;=219,ROW(D199)&lt;=248),
IF(SCANOPY_N_System&gt;1,
IF(SCANOPY_IndexScanner=1,"α" &amp; SCANOPY_CameraModel,SCANOPY_CameraModel_Mini) &amp; " Man",""),
IF(N("Empty si OR = true . . .If it is Cell or Tron, Do not Show Scanner related items + Hide if LC is favorite on unavailable product")+OR(
AND(ROW(E199)&gt;=39,ROW(E199)&lt;=68),
AND(ROW(E199)&gt;=99,ROW(E199)&lt;=128),
AND(IF(PROD_MostPopularScanner="LC",1,0), NOT(AND(ROW(E199)&gt;=129,ROW(E199)&lt;=158)), NOT(AND(ROW(E199)&gt;=189,ROW(E199)&lt;=218))),
0=1),
    "", IF(1=N("Si système a un scanner différent du Scanner populaire alors différent, sinon Scanner populaire")+AND(NOT(ISERROR(SEARCH("System",J198))),LEFT(J198,2)&lt;&gt;LEFT(PROD_MostPopularScanner,2)),
LEFT(J198,SEARCH("00",J198)-3),
PROD_MostPopularScanner) &amp; " Install Man"))</f>
        <v>☐ Scan. Install Man</v>
      </c>
      <c r="K199" s="378" t="str">
        <f>IF(N("If it is Cell or Tron or OPY, Do not Show Twain")+OR(AND(ROW(K199)&gt;=39,ROW(K199)&lt;=68),AND(ROW(K199)&gt;=99,ROW(K199)&lt;=128),AND(ROW(J199)&gt;=219,ROW(J199)&lt;=248)),"","☐ TWAIN")</f>
        <v>☐ TWAIN</v>
      </c>
      <c r="L199" s="379" t="str">
        <f>IF(AND(IF(PROD_MostPopularScanner="LC",1,0), NOT(AND(ROW(E199)&gt;=129,ROW(E199)&lt;=158)), NOT(AND(ROW(E199)&gt;=189,ROW(E199)&lt;=218))),"",
IF(N("Si OR dessous = vrai, pas de box")+OR(
N("1 OR Dendro+CELL, Tron+Folia,Cam")+OR(
AND(ROW(K199)&gt;=9,ROW(K199)&lt;=68),
AND(ROW(K199)&gt;=99,ROW(K199)&lt;=158),
AND(ROW(K199)&gt;=189,ROW(K199)&lt;=218)),
N("2 Pas de système scanopy and range opy")+AND(ROW(K199)&gt;=219,ROW(K199)&lt;=248,SCANOPY_N_System&lt;2),
N("3 Avec LC")&amp;IF(ISERROR(LEFT(J198,SEARCH("00",J198)-3)),"",LEFT(J198,SEARCH("00",J198)-3))="LC"),"","☐ ")
&amp;
IF(N("If it's OPY, put OMount Manual instead")+
AND(ROW(J199)&gt;=219,ROW(J199)&lt;=248),
IF(SCANOPY_N_System&gt;1,"OMount Man",""),
IF(N("If it is Dendro+CELL, Tron+Folia or Cam, Do not Show Scanner related items+No Video if LC")+OR(
AND(ROW(K199)&gt;=9,ROW(K199)&lt;=68),
AND(ROW(K199)&gt;=99,ROW(K199)&lt;=158),
AND(ROW(K199)&gt;=189,ROW(K199)&lt;=218),
IF(ISERROR(LEFT(J198,SEARCH("00",J198)-3)),"",LEFT(J198,SEARCH("00",J198)-3))="LC"),
    "", "Video " &amp; IF(1=N("Si système a un scanner différent du Scanner populaire alors différent, sinon Scanner populaire")+AND(NOT(ISERROR(SEARCH("System",J198))),LEFT(J198,2)&lt;&gt;LEFT(PROD_MostPopularScanner,2)),
LEFT(J198,SEARCH("00",J198)-3),
PROD_MostPopularScanner) &amp; " Install"))
)</f>
        <v/>
      </c>
      <c r="M199" s="378" t="str">
        <f>IF(N("If it is Dendro or Tron, Do not Show Color Analysis Video")+
OR(AND(ROW(L199)&gt;=9,ROW(L199)&lt;=38),
AND(ROW(L199)&gt;=99,ROW(L199)&lt;=128)), "","☐ Video ClrAna")</f>
        <v>☐ Video ClrAna</v>
      </c>
      <c r="N199" s="379" t="str">
        <f>IF(OR(INT((ROW(D199)-10)/30)+1=2,INT((ROW(D199)-10)/30)+1=4),"","☐ ")&amp;
IF(INT((ROW(D199)-10)/30)+1=1,"Scanner.cal","")&amp;
IF(INT((ROW(D199)-10)/30)+1=2,"","")&amp;
IF(INT((ROW(D199)-10)/30)+1=3,"Scanner.cal","")&amp;
IF(INT((ROW(D199)-10)/30)+1=4,"","")&amp;
IF(INT((ROW(D199)-10)/30)+1=5,"Scanner.cal","")&amp;
IF(INT((ROW(D199)-10)/30)+1=6,"Scanner.cal","")&amp;
IF(INT((ROW(D199)-10)/30)+1=7,"Scanner.cal","")&amp;
IF(INT((ROW(D199)-10)/30)+1=8,"Indiv" &amp; " Lens.cal","")</f>
        <v>☐ Scanner.cal</v>
      </c>
      <c r="O199" s="307" t="str">
        <f>IF(AND(ROW(L199)&gt;=9,ROW(L199)&lt;=38),"☐ RegentTarget.blu","")</f>
        <v/>
      </c>
      <c r="P199" s="215"/>
      <c r="Q199" s="215"/>
    </row>
    <row r="200" spans="1:17" ht="24" customHeight="1" x14ac:dyDescent="0.2">
      <c r="A200" s="434" t="s">
        <v>259</v>
      </c>
      <c r="B200" s="224" t="s">
        <v>259</v>
      </c>
      <c r="C200" s="307" t="s">
        <v>152</v>
      </c>
      <c r="D200" s="307" t="str">
        <f xml:space="preserve"> IF(N("If it is Cam, Do not Show XL")+AND(ROW(D200)&gt;=189,ROW(D200)&lt;=218),"","☐ XL Man")</f>
        <v/>
      </c>
      <c r="E200" s="437" t="str">
        <f>IF(N("Si OR dessous = vrai, pas de box")+OR(
N("1 OR Tron ou CELL")+OR(AND(ROW(K199)&gt;=39,ROW(K199)&lt;=68),AND(ROW(K199)&gt;=99,ROW(K199)&lt;=128)),
N("2 Pas de système scanopy and range opy")+AND(ROW(K199)&gt;=219,ROW(K199)&lt;=248,SCANOPY_N_System&lt;2),
N("3 Avec LC")&amp;IF(ISERROR(LEFT(J198,SEARCH("00",J198)-3)),"",LEFT(J198,SEARCH("00",J198)-3))="LC"),"","☐ ")
&amp;
IF(N("If it's OPY, put OMount Manual instead")+
AND(ROW(J199)&gt;=219,ROW(J199)&lt;=248),
IF(SCANOPY_N_System&gt;1,"OMount Man",""),
IF(N("If it is Cell or Tron, Do not Show Scanner related items")+OR(
AND(ROW(K199)&gt;=39,ROW(K199)&lt;=68),
AND(ROW(K199)&gt;=99,ROW(K199)&lt;=128)),
    "", IF(1=N("Si système a un scanner différent du Scanner populaire alors différent, sinon Scanner populaire")+AND(NOT(ISERROR(SEARCH("System",J198))),LEFT(J198,2)&lt;&gt;LEFT(PROD_MostPopularScanner,2)),
LEFT(J198,SEARCH("00",J198)-3),
PROD_MostPopularScanner) &amp; " Install Man"))</f>
        <v>☐ Scan. Install Man</v>
      </c>
      <c r="F200" s="380" t="s">
        <v>275</v>
      </c>
      <c r="G200" s="307" t="s">
        <v>274</v>
      </c>
      <c r="H200" s="439" t="s">
        <v>250</v>
      </c>
      <c r="I200" s="381"/>
      <c r="J200" s="307" t="str">
        <f ca="1">IF(AND(
INDIRECT(
IF(INT((ROW(D200)-10)/30)+1=1,"DENDRO","")&amp;
IF(INT((ROW(D200)-10)/30)+1=2,"CELL","")&amp;
IF(INT((ROW(D200)-10)/30)+1=3,"RHIZO","")&amp;
IF(INT((ROW(D200)-10)/30)+1=4,"RHIZOTRON","")&amp;
IF(INT((ROW(D200)-10)/30)+1=5,"FOLIA","")&amp;
IF(INT((ROW(D200)-10)/30)+1=6,"SEEDLE","")&amp;
IF(INT((ROW(D200)-10)/30)+1=7,"CAM","")&amp;
IF(INT((ROW(D200)-10)/30)+1=8,"SCANOPY","") &amp; "_ChkB_RemoteUpdate"),
INDIRECT(
IF(INT((ROW(D200)-10)/30)+1=1,"DENDRO","")&amp;
IF(INT((ROW(D200)-10)/30)+1=2,"CELL","")&amp;
IF(INT((ROW(D200)-10)/30)+1=3,"RHIZO","")&amp;
IF(INT((ROW(D200)-10)/30)+1=4,"RHIZOTRON","")&amp;
IF(INT((ROW(D200)-10)/30)+1=5,"FOLIA","")&amp;
IF(INT((ROW(D200)-10)/30)+1=6,"SEEDLE","")&amp;
IF(INT((ROW(D200)-10)/30)+1=7,"CAM","")&amp;
IF(INT((ROW(D200)-10)/30)+1=8,"SCANOPY","") &amp; "_ChkBox_UpgradeUpdate")),
"Clé de bois ou Download. Reprogrammation clé client",
"☐ " &amp; IF(AND(QUOTE_Split_SoftwareHardware,QUOTE_InternetDownload),"Man ds env. ""Documents"", Clé ds bulle collée sur env.","Reliée au Man"))</f>
        <v>☐ Reliée au Man</v>
      </c>
      <c r="K200" s="265"/>
      <c r="L200" s="223"/>
      <c r="M200" s="439"/>
      <c r="N200" s="380"/>
      <c r="O200" s="307"/>
      <c r="P200" s="215"/>
      <c r="Q200" s="215"/>
    </row>
    <row r="201" spans="1:17" ht="16.25" customHeight="1" x14ac:dyDescent="0.2">
      <c r="A201" s="421"/>
      <c r="B201" s="296"/>
      <c r="C201" s="904" t="str">
        <f>IF((CAM_N_UpgradeUpdate + CAM_N_Software ) = 2,"",LEFT(INDEX(CAM_SoftwareFullNames,CAM_IndexSoftware),FIND(" ",INDEX(CAM_SoftwareFullNames,CAM_IndexSoftware),FIND(" ",INDEX(CAM_SoftwareFullNames,CAM_IndexSoftware))+6)) &amp;
CAM_YearMostRecent )</f>
        <v/>
      </c>
      <c r="D201" s="904"/>
      <c r="E201" s="304"/>
      <c r="F201" s="304"/>
      <c r="G201" s="275"/>
      <c r="H201" s="261"/>
      <c r="I201" s="261"/>
      <c r="J201" s="275" t="str">
        <f>IF(CAM_N_System-1&gt;=((ROW(G201)-ROW($G$189))/4+1),IF(CAM_IndexScanner=1,"STD4800",IF(CAM_IndexScanner=2,"LA2400","LC4800P")) &amp; " System"&amp; IF(AND(CAM_ClientWithOrWithoutScanner=2,CAM_N_System&gt;1)," Sans Scanner"," Avec Scanner"),
IF(AND(CAM_N_Software&gt;CAM_N_System,CAM_N_Software-1&gt;=((ROW(G201)-ROW($G$189))/4+1)),IF(N_SystemTotal=0,"Software Only",IF(N_STDScanners+N_LAScanners+N_LCScanners=0,"Software Sans Scanner","Software Avec Scanner")),
IF(CAM_N_UpgradeUpdate-1&gt;=((ROW(G201)-ROW($G$189))/4+1)-(MAX(CAM_N_System,CAM_N_Software)-1),"Update","")))</f>
        <v/>
      </c>
      <c r="K201" s="261"/>
      <c r="L201" s="260"/>
      <c r="M201" s="260"/>
      <c r="N201" s="260"/>
      <c r="O201" s="215"/>
      <c r="P201" s="215"/>
      <c r="Q201" s="215"/>
    </row>
    <row r="202" spans="1:17" ht="24" customHeight="1" x14ac:dyDescent="0.2">
      <c r="A202" s="434" t="s">
        <v>258</v>
      </c>
      <c r="B202" s="287" t="s">
        <v>258</v>
      </c>
      <c r="C202" s="378" t="str">
        <f>IF(AND(QUOTE_Split_SoftwareHardware,QUOTE_InternetDownload),"",
"☐☐ Win" &amp;
IF(INT((ROW(D202)-10)/30)+1=1,"DEN","")&amp;
IF(INT((ROW(D202)-10)/30)+1=2,"CEL","")&amp;
IF(INT((ROW(D202)-10)/30)+1=3,"RHI","")&amp;
IF(INT((ROW(D202)-10)/30)+1=4,"RT","")&amp;
IF(INT((ROW(D202)-10)/30)+1=5,"FOL","")&amp;
IF(INT((ROW(D202)-10)/30)+1=6,"SEE","")&amp;
IF(INT((ROW(D202)-10)/30)+1=7,"CAM","")&amp;
IF(INT((ROW(D202)-10)/30)+1=8,"SCA","") &amp; ".exe")</f>
        <v>☐☐ WinCAM.exe</v>
      </c>
      <c r="D202" s="378" t="str">
        <f>IF(AND(QUOTE_Split_SoftwareHardware,QUOTE_InternetDownload),"",
 IF(N("If it is Cam, Do not Show XL")+AND(ROW(D202)&gt;=189,ROW(D202)&lt;=218),"","☐ XL" &amp;
IF(INT((ROW(D202)-10)/30)+1=1,"STEM","")&amp;
IF(INT((ROW(D202)-10)/30)+1=2,"Cell","")&amp;
IF(INT((ROW(D202)-10)/30)+1=3,"Rhizo","")&amp;
IF(INT((ROW(D202)-10)/30)+1=4,"RhizoT","")&amp;
IF(INT((ROW(D202)-10)/30)+1=5,"Folia","")&amp;
IF(INT((ROW(D202)-10)/30)+1=6,"Seedle","")&amp;
IF(INT((ROW(D202)-10)/30)+1=7,"Cam","")&amp;
IF(INT((ROW(D202)-10)/30)+1=8,"Scanopy","") &amp; ".xls"))</f>
        <v/>
      </c>
      <c r="E202" s="378" t="s">
        <v>299</v>
      </c>
      <c r="F202" s="379" t="s">
        <v>152</v>
      </c>
      <c r="G202" s="378" t="str">
        <f xml:space="preserve"> IF(N("If it is Cam, Do not Show XL")+AND(ROW(G202)&gt;=189,ROW(G202)&lt;=218),"","☐ XL Man")</f>
        <v/>
      </c>
      <c r="H202" s="379" t="s">
        <v>280</v>
      </c>
      <c r="I202" s="307" t="s">
        <v>274</v>
      </c>
      <c r="J202" s="379" t="str">
        <f>IF(N("Si OR dessous = vrai, pas de box")+OR(
N("1 OR Tron ou CELL")+OR(AND(ROW(E202)&gt;=39,ROW(E202)&lt;=68),AND(ROW(E202)&gt;=99,ROW(E202)&lt;=128)),
N("2 Pas de système scanopy and range opy")+AND(ROW(E202)&gt;=219,ROW(E202)&lt;=248,SCANOPY_N_System&lt;2),
N("3 Avec LC") + IF(AND(IF(PROD_MostPopularScanner="LC",1,0), NOT(AND(ROW(E202)&gt;=129,ROW(E202)&lt;=158)), NOT(AND(ROW(E202)&gt;=189,ROW(E202)&lt;=218))),1,0)
),"","☐ ")
&amp;
IF(N("If it's OPY, put OMount Manual instead")+
AND(ROW(D202)&gt;=219,ROW(D202)&lt;=248),
IF(SCANOPY_N_System&gt;1,
IF(SCANOPY_IndexScanner=1,"α" &amp; SCANOPY_CameraModel,SCANOPY_CameraModel_Mini) &amp; " Man",""),
IF(N("Empty si OR = true . . .If it is Cell or Tron, Do not Show Scanner related items + Hide if LC is favorite on unavailable product")+OR(
AND(ROW(E202)&gt;=39,ROW(E202)&lt;=68),
AND(ROW(E202)&gt;=99,ROW(E202)&lt;=128),
AND(IF(PROD_MostPopularScanner="LC",1,0), NOT(AND(ROW(E202)&gt;=129,ROW(E202)&lt;=158)), NOT(AND(ROW(E202)&gt;=189,ROW(E202)&lt;=218))),
0=1),
    "", IF(1=N("Si système a un scanner différent du Scanner populaire alors différent, sinon Scanner populaire")+AND(NOT(ISERROR(SEARCH("System",J201))),LEFT(J201,2)&lt;&gt;LEFT(PROD_MostPopularScanner,2)),
LEFT(J201,SEARCH("00",J201)-3),
PROD_MostPopularScanner) &amp; " Install Man"))</f>
        <v>☐ Scan. Install Man</v>
      </c>
      <c r="K202" s="378" t="str">
        <f>IF(N("If it is Cell or Tron or OPY, Do not Show Twain")+OR(AND(ROW(K202)&gt;=39,ROW(K202)&lt;=68),AND(ROW(K202)&gt;=99,ROW(K202)&lt;=128),AND(ROW(J202)&gt;=219,ROW(J202)&lt;=248)),"","☐ TWAIN")</f>
        <v>☐ TWAIN</v>
      </c>
      <c r="L202" s="379" t="str">
        <f>IF(AND(IF(PROD_MostPopularScanner="LC",1,0), NOT(AND(ROW(E202)&gt;=129,ROW(E202)&lt;=158)), NOT(AND(ROW(E202)&gt;=189,ROW(E202)&lt;=218))),"",
IF(N("Si OR dessous = vrai, pas de box")+OR(
N("1 OR Dendro+CELL, Tron+Folia,Cam")+OR(
AND(ROW(K202)&gt;=9,ROW(K202)&lt;=68),
AND(ROW(K202)&gt;=99,ROW(K202)&lt;=158),
AND(ROW(K202)&gt;=189,ROW(K202)&lt;=218)),
N("2 Pas de système scanopy and range opy")+AND(ROW(K202)&gt;=219,ROW(K202)&lt;=248,SCANOPY_N_System&lt;2),
N("3 Avec LC")&amp;IF(ISERROR(LEFT(J201,SEARCH("00",J201)-3)),"",LEFT(J201,SEARCH("00",J201)-3))="LC"),"","☐ ")
&amp;
IF(N("If it's OPY, put OMount Manual instead")+
AND(ROW(J202)&gt;=219,ROW(J202)&lt;=248),
IF(SCANOPY_N_System&gt;1,"OMount Man",""),
IF(N("If it is Dendro+CELL, Tron+Folia or Cam, Do not Show Scanner related items+No Video if LC")+OR(
AND(ROW(K202)&gt;=9,ROW(K202)&lt;=68),
AND(ROW(K202)&gt;=99,ROW(K202)&lt;=158),
AND(ROW(K202)&gt;=189,ROW(K202)&lt;=218),
IF(ISERROR(LEFT(J201,SEARCH("00",J201)-3)),"",LEFT(J201,SEARCH("00",J201)-3))="LC"),
    "", "Video " &amp; IF(1=N("Si système a un scanner différent du Scanner populaire alors différent, sinon Scanner populaire")+AND(NOT(ISERROR(SEARCH("System",J201))),LEFT(J201,2)&lt;&gt;LEFT(PROD_MostPopularScanner,2)),
LEFT(J201,SEARCH("00",J201)-3),
PROD_MostPopularScanner) &amp; " Install"))
)</f>
        <v/>
      </c>
      <c r="M202" s="378" t="str">
        <f>IF(N("If it is Dendro or Tron, Do not Show Color Analysis Video")+
OR(AND(ROW(L202)&gt;=9,ROW(L202)&lt;=38),
AND(ROW(L202)&gt;=99,ROW(L202)&lt;=128)), "","☐ Video ClrAna")</f>
        <v>☐ Video ClrAna</v>
      </c>
      <c r="N202" s="379" t="str">
        <f>IF(OR(INT((ROW(D202)-10)/30)+1=2,INT((ROW(D202)-10)/30)+1=4),"","☐ ")&amp;
IF(INT((ROW(D202)-10)/30)+1=1,"Scanner.cal","")&amp;
IF(INT((ROW(D202)-10)/30)+1=2,"","")&amp;
IF(INT((ROW(D202)-10)/30)+1=3,"Scanner.cal","")&amp;
IF(INT((ROW(D202)-10)/30)+1=4,"","")&amp;
IF(INT((ROW(D202)-10)/30)+1=5,"Scanner.cal","")&amp;
IF(INT((ROW(D202)-10)/30)+1=6,"Scanner.cal","")&amp;
IF(INT((ROW(D202)-10)/30)+1=7,"Scanner.cal","")&amp;
IF(INT((ROW(D202)-10)/30)+1=8,"Indiv" &amp; " Lens.cal","")</f>
        <v>☐ Scanner.cal</v>
      </c>
      <c r="O202" s="307" t="str">
        <f>IF(AND(ROW(L202)&gt;=9,ROW(L202)&lt;=38),"☐ RegentTarget.blu","")</f>
        <v/>
      </c>
      <c r="P202" s="215"/>
      <c r="Q202" s="215"/>
    </row>
    <row r="203" spans="1:17" ht="24" customHeight="1" x14ac:dyDescent="0.2">
      <c r="A203" s="434" t="s">
        <v>259</v>
      </c>
      <c r="B203" s="224" t="s">
        <v>259</v>
      </c>
      <c r="C203" s="307" t="s">
        <v>152</v>
      </c>
      <c r="D203" s="307" t="str">
        <f xml:space="preserve"> IF(N("If it is Cam, Do not Show XL")+AND(ROW(D203)&gt;=189,ROW(D203)&lt;=218),"","☐ XL Man")</f>
        <v/>
      </c>
      <c r="E203" s="437" t="str">
        <f>IF(N("Si OR dessous = vrai, pas de box")+OR(
N("1 OR Tron ou CELL")+OR(AND(ROW(K202)&gt;=39,ROW(K202)&lt;=68),AND(ROW(K202)&gt;=99,ROW(K202)&lt;=128)),
N("2 Pas de système scanopy and range opy")+AND(ROW(K202)&gt;=219,ROW(K202)&lt;=248,SCANOPY_N_System&lt;2),
N("3 Avec LC")&amp;IF(ISERROR(LEFT(J201,SEARCH("00",J201)-3)),"",LEFT(J201,SEARCH("00",J201)-3))="LC"),"","☐ ")
&amp;
IF(N("If it's OPY, put OMount Manual instead")+
AND(ROW(J202)&gt;=219,ROW(J202)&lt;=248),
IF(SCANOPY_N_System&gt;1,"OMount Man",""),
IF(N("If it is Cell or Tron, Do not Show Scanner related items")+OR(
AND(ROW(K202)&gt;=39,ROW(K202)&lt;=68),
AND(ROW(K202)&gt;=99,ROW(K202)&lt;=128)),
    "", IF(1=N("Si système a un scanner différent du Scanner populaire alors différent, sinon Scanner populaire")+AND(NOT(ISERROR(SEARCH("System",J201))),LEFT(J201,2)&lt;&gt;LEFT(PROD_MostPopularScanner,2)),
LEFT(J201,SEARCH("00",J201)-3),
PROD_MostPopularScanner) &amp; " Install Man"))</f>
        <v>☐ Scan. Install Man</v>
      </c>
      <c r="F203" s="380" t="s">
        <v>275</v>
      </c>
      <c r="G203" s="307" t="s">
        <v>274</v>
      </c>
      <c r="H203" s="439" t="s">
        <v>250</v>
      </c>
      <c r="I203" s="381"/>
      <c r="J203" s="307" t="str">
        <f ca="1">IF(AND(
INDIRECT(
IF(INT((ROW(D203)-10)/30)+1=1,"DENDRO","")&amp;
IF(INT((ROW(D203)-10)/30)+1=2,"CELL","")&amp;
IF(INT((ROW(D203)-10)/30)+1=3,"RHIZO","")&amp;
IF(INT((ROW(D203)-10)/30)+1=4,"RHIZOTRON","")&amp;
IF(INT((ROW(D203)-10)/30)+1=5,"FOLIA","")&amp;
IF(INT((ROW(D203)-10)/30)+1=6,"SEEDLE","")&amp;
IF(INT((ROW(D203)-10)/30)+1=7,"CAM","")&amp;
IF(INT((ROW(D203)-10)/30)+1=8,"SCANOPY","") &amp; "_ChkB_RemoteUpdate"),
INDIRECT(
IF(INT((ROW(D203)-10)/30)+1=1,"DENDRO","")&amp;
IF(INT((ROW(D203)-10)/30)+1=2,"CELL","")&amp;
IF(INT((ROW(D203)-10)/30)+1=3,"RHIZO","")&amp;
IF(INT((ROW(D203)-10)/30)+1=4,"RHIZOTRON","")&amp;
IF(INT((ROW(D203)-10)/30)+1=5,"FOLIA","")&amp;
IF(INT((ROW(D203)-10)/30)+1=6,"SEEDLE","")&amp;
IF(INT((ROW(D203)-10)/30)+1=7,"CAM","")&amp;
IF(INT((ROW(D203)-10)/30)+1=8,"SCANOPY","") &amp; "_ChkBox_UpgradeUpdate")),
"Clé de bois ou Download. Reprogrammation clé client",
"☐ " &amp; IF(AND(QUOTE_Split_SoftwareHardware,QUOTE_InternetDownload),"Man ds env. ""Documents"", Clé ds bulle collée sur env.","Reliée au Man"))</f>
        <v>☐ Reliée au Man</v>
      </c>
      <c r="K203" s="265"/>
      <c r="L203" s="223"/>
      <c r="M203" s="439"/>
      <c r="N203" s="380"/>
      <c r="O203" s="307"/>
      <c r="P203" s="215"/>
      <c r="Q203" s="215"/>
    </row>
    <row r="204" spans="1:17" ht="16.25" customHeight="1" x14ac:dyDescent="0.2">
      <c r="A204" s="421"/>
      <c r="B204" s="296"/>
      <c r="C204" s="904" t="str">
        <f>IF((CAM_N_UpgradeUpdate + CAM_N_Software ) = 2,"",LEFT(INDEX(CAM_SoftwareFullNames,CAM_IndexSoftware),FIND(" ",INDEX(CAM_SoftwareFullNames,CAM_IndexSoftware),FIND(" ",INDEX(CAM_SoftwareFullNames,CAM_IndexSoftware))+6)) &amp;
CAM_YearMostRecent )</f>
        <v/>
      </c>
      <c r="D204" s="904"/>
      <c r="E204" s="304"/>
      <c r="F204" s="304"/>
      <c r="G204" s="275"/>
      <c r="H204" s="261"/>
      <c r="I204" s="261"/>
      <c r="J204" s="275" t="str">
        <f>IF(CAM_N_System-1&gt;=((ROW(G204)-ROW($G$189))/4+1),IF(CAM_IndexScanner=1,"STD4800",IF(CAM_IndexScanner=2,"LA2400","LC4800P")) &amp; " System"&amp; IF(AND(CAM_ClientWithOrWithoutScanner=2,CAM_N_System&gt;1)," Sans Scanner"," Avec Scanner"),
IF(AND(CAM_N_Software&gt;CAM_N_System,CAM_N_Software-1&gt;=((ROW(G204)-ROW($G$189))/4+1)),IF(N_SystemTotal=0,"Software Only",IF(N_STDScanners+N_LAScanners+N_LCScanners=0,"Software Sans Scanner","Software Avec Scanner")),
IF(CAM_N_UpgradeUpdate-1&gt;=((ROW(G204)-ROW($G$189))/4+1)-(MAX(CAM_N_System,CAM_N_Software)-1),"Update","")))</f>
        <v/>
      </c>
      <c r="K204" s="261"/>
      <c r="L204" s="260"/>
      <c r="M204" s="260"/>
      <c r="N204" s="260"/>
      <c r="O204" s="215"/>
      <c r="P204" s="215"/>
      <c r="Q204" s="215"/>
    </row>
    <row r="205" spans="1:17" ht="24" customHeight="1" x14ac:dyDescent="0.2">
      <c r="A205" s="434" t="s">
        <v>258</v>
      </c>
      <c r="B205" s="287" t="s">
        <v>258</v>
      </c>
      <c r="C205" s="378" t="str">
        <f>IF(AND(QUOTE_Split_SoftwareHardware,QUOTE_InternetDownload),"",
"☐☐ Win" &amp;
IF(INT((ROW(D205)-10)/30)+1=1,"DEN","")&amp;
IF(INT((ROW(D205)-10)/30)+1=2,"CEL","")&amp;
IF(INT((ROW(D205)-10)/30)+1=3,"RHI","")&amp;
IF(INT((ROW(D205)-10)/30)+1=4,"RT","")&amp;
IF(INT((ROW(D205)-10)/30)+1=5,"FOL","")&amp;
IF(INT((ROW(D205)-10)/30)+1=6,"SEE","")&amp;
IF(INT((ROW(D205)-10)/30)+1=7,"CAM","")&amp;
IF(INT((ROW(D205)-10)/30)+1=8,"SCA","") &amp; ".exe")</f>
        <v>☐☐ WinCAM.exe</v>
      </c>
      <c r="D205" s="378" t="str">
        <f>IF(AND(QUOTE_Split_SoftwareHardware,QUOTE_InternetDownload),"",
 IF(N("If it is Cam, Do not Show XL")+AND(ROW(D205)&gt;=189,ROW(D205)&lt;=218),"","☐ XL" &amp;
IF(INT((ROW(D205)-10)/30)+1=1,"STEM","")&amp;
IF(INT((ROW(D205)-10)/30)+1=2,"Cell","")&amp;
IF(INT((ROW(D205)-10)/30)+1=3,"Rhizo","")&amp;
IF(INT((ROW(D205)-10)/30)+1=4,"RhizoT","")&amp;
IF(INT((ROW(D205)-10)/30)+1=5,"Folia","")&amp;
IF(INT((ROW(D205)-10)/30)+1=6,"Seedle","")&amp;
IF(INT((ROW(D205)-10)/30)+1=7,"Cam","")&amp;
IF(INT((ROW(D205)-10)/30)+1=8,"Scanopy","") &amp; ".xls"))</f>
        <v/>
      </c>
      <c r="E205" s="378" t="s">
        <v>299</v>
      </c>
      <c r="F205" s="379" t="s">
        <v>152</v>
      </c>
      <c r="G205" s="378" t="str">
        <f xml:space="preserve"> IF(N("If it is Cam, Do not Show XL")+AND(ROW(G205)&gt;=189,ROW(G205)&lt;=218),"","☐ XL Man")</f>
        <v/>
      </c>
      <c r="H205" s="379" t="s">
        <v>280</v>
      </c>
      <c r="I205" s="307" t="s">
        <v>274</v>
      </c>
      <c r="J205" s="379" t="str">
        <f>IF(N("Si OR dessous = vrai, pas de box")+OR(
N("1 OR Tron ou CELL")+OR(AND(ROW(E205)&gt;=39,ROW(E205)&lt;=68),AND(ROW(E205)&gt;=99,ROW(E205)&lt;=128)),
N("2 Pas de système scanopy and range opy")+AND(ROW(E205)&gt;=219,ROW(E205)&lt;=248,SCANOPY_N_System&lt;2),
N("3 Avec LC") + IF(AND(IF(PROD_MostPopularScanner="LC",1,0), NOT(AND(ROW(E205)&gt;=129,ROW(E205)&lt;=158)), NOT(AND(ROW(E205)&gt;=189,ROW(E205)&lt;=218))),1,0)
),"","☐ ")
&amp;
IF(N("If it's OPY, put OMount Manual instead")+
AND(ROW(D205)&gt;=219,ROW(D205)&lt;=248),
IF(SCANOPY_N_System&gt;1,
IF(SCANOPY_IndexScanner=1,"α" &amp; SCANOPY_CameraModel,SCANOPY_CameraModel_Mini) &amp; " Man",""),
IF(N("Empty si OR = true . . .If it is Cell or Tron, Do not Show Scanner related items + Hide if LC is favorite on unavailable product")+OR(
AND(ROW(E205)&gt;=39,ROW(E205)&lt;=68),
AND(ROW(E205)&gt;=99,ROW(E205)&lt;=128),
AND(IF(PROD_MostPopularScanner="LC",1,0), NOT(AND(ROW(E205)&gt;=129,ROW(E205)&lt;=158)), NOT(AND(ROW(E205)&gt;=189,ROW(E205)&lt;=218))),
0=1),
    "", IF(1=N("Si système a un scanner différent du Scanner populaire alors différent, sinon Scanner populaire")+AND(NOT(ISERROR(SEARCH("System",J204))),LEFT(J204,2)&lt;&gt;LEFT(PROD_MostPopularScanner,2)),
LEFT(J204,SEARCH("00",J204)-3),
PROD_MostPopularScanner) &amp; " Install Man"))</f>
        <v>☐ Scan. Install Man</v>
      </c>
      <c r="K205" s="378" t="str">
        <f>IF(N("If it is Cell or Tron or OPY, Do not Show Twain")+OR(AND(ROW(K205)&gt;=39,ROW(K205)&lt;=68),AND(ROW(K205)&gt;=99,ROW(K205)&lt;=128),AND(ROW(J205)&gt;=219,ROW(J205)&lt;=248)),"","☐ TWAIN")</f>
        <v>☐ TWAIN</v>
      </c>
      <c r="L205" s="379" t="str">
        <f>IF(AND(IF(PROD_MostPopularScanner="LC",1,0), NOT(AND(ROW(E205)&gt;=129,ROW(E205)&lt;=158)), NOT(AND(ROW(E205)&gt;=189,ROW(E205)&lt;=218))),"",
IF(N("Si OR dessous = vrai, pas de box")+OR(
N("1 OR Dendro+CELL, Tron+Folia,Cam")+OR(
AND(ROW(K205)&gt;=9,ROW(K205)&lt;=68),
AND(ROW(K205)&gt;=99,ROW(K205)&lt;=158),
AND(ROW(K205)&gt;=189,ROW(K205)&lt;=218)),
N("2 Pas de système scanopy and range opy")+AND(ROW(K205)&gt;=219,ROW(K205)&lt;=248,SCANOPY_N_System&lt;2),
N("3 Avec LC")&amp;IF(ISERROR(LEFT(J204,SEARCH("00",J204)-3)),"",LEFT(J204,SEARCH("00",J204)-3))="LC"),"","☐ ")
&amp;
IF(N("If it's OPY, put OMount Manual instead")+
AND(ROW(J205)&gt;=219,ROW(J205)&lt;=248),
IF(SCANOPY_N_System&gt;1,"OMount Man",""),
IF(N("If it is Dendro+CELL, Tron+Folia or Cam, Do not Show Scanner related items+No Video if LC")+OR(
AND(ROW(K205)&gt;=9,ROW(K205)&lt;=68),
AND(ROW(K205)&gt;=99,ROW(K205)&lt;=158),
AND(ROW(K205)&gt;=189,ROW(K205)&lt;=218),
IF(ISERROR(LEFT(J204,SEARCH("00",J204)-3)),"",LEFT(J204,SEARCH("00",J204)-3))="LC"),
    "", "Video " &amp; IF(1=N("Si système a un scanner différent du Scanner populaire alors différent, sinon Scanner populaire")+AND(NOT(ISERROR(SEARCH("System",J204))),LEFT(J204,2)&lt;&gt;LEFT(PROD_MostPopularScanner,2)),
LEFT(J204,SEARCH("00",J204)-3),
PROD_MostPopularScanner) &amp; " Install"))
)</f>
        <v/>
      </c>
      <c r="M205" s="378" t="str">
        <f>IF(N("If it is Dendro or Tron, Do not Show Color Analysis Video")+
OR(AND(ROW(L205)&gt;=9,ROW(L205)&lt;=38),
AND(ROW(L205)&gt;=99,ROW(L205)&lt;=128)), "","☐ Video ClrAna")</f>
        <v>☐ Video ClrAna</v>
      </c>
      <c r="N205" s="379" t="str">
        <f>IF(OR(INT((ROW(D205)-10)/30)+1=2,INT((ROW(D205)-10)/30)+1=4),"","☐ ")&amp;
IF(INT((ROW(D205)-10)/30)+1=1,"Scanner.cal","")&amp;
IF(INT((ROW(D205)-10)/30)+1=2,"","")&amp;
IF(INT((ROW(D205)-10)/30)+1=3,"Scanner.cal","")&amp;
IF(INT((ROW(D205)-10)/30)+1=4,"","")&amp;
IF(INT((ROW(D205)-10)/30)+1=5,"Scanner.cal","")&amp;
IF(INT((ROW(D205)-10)/30)+1=6,"Scanner.cal","")&amp;
IF(INT((ROW(D205)-10)/30)+1=7,"Scanner.cal","")&amp;
IF(INT((ROW(D205)-10)/30)+1=8,"Indiv" &amp; " Lens.cal","")</f>
        <v>☐ Scanner.cal</v>
      </c>
      <c r="O205" s="307" t="str">
        <f>IF(AND(ROW(L205)&gt;=9,ROW(L205)&lt;=38),"☐ RegentTarget.blu","")</f>
        <v/>
      </c>
      <c r="P205" s="215"/>
      <c r="Q205" s="215"/>
    </row>
    <row r="206" spans="1:17" ht="24" customHeight="1" x14ac:dyDescent="0.2">
      <c r="A206" s="434" t="s">
        <v>259</v>
      </c>
      <c r="B206" s="224" t="s">
        <v>259</v>
      </c>
      <c r="C206" s="307" t="s">
        <v>152</v>
      </c>
      <c r="D206" s="307" t="str">
        <f xml:space="preserve"> IF(N("If it is Cam, Do not Show XL")+AND(ROW(D206)&gt;=189,ROW(D206)&lt;=218),"","☐ XL Man")</f>
        <v/>
      </c>
      <c r="E206" s="437" t="str">
        <f>IF(N("Si OR dessous = vrai, pas de box")+OR(
N("1 OR Tron ou CELL")+OR(AND(ROW(K205)&gt;=39,ROW(K205)&lt;=68),AND(ROW(K205)&gt;=99,ROW(K205)&lt;=128)),
N("2 Pas de système scanopy and range opy")+AND(ROW(K205)&gt;=219,ROW(K205)&lt;=248,SCANOPY_N_System&lt;2),
N("3 Avec LC")&amp;IF(ISERROR(LEFT(J204,SEARCH("00",J204)-3)),"",LEFT(J204,SEARCH("00",J204)-3))="LC"),"","☐ ")
&amp;
IF(N("If it's OPY, put OMount Manual instead")+
AND(ROW(J205)&gt;=219,ROW(J205)&lt;=248),
IF(SCANOPY_N_System&gt;1,"OMount Man",""),
IF(N("If it is Cell or Tron, Do not Show Scanner related items")+OR(
AND(ROW(K205)&gt;=39,ROW(K205)&lt;=68),
AND(ROW(K205)&gt;=99,ROW(K205)&lt;=128)),
    "", IF(1=N("Si système a un scanner différent du Scanner populaire alors différent, sinon Scanner populaire")+AND(NOT(ISERROR(SEARCH("System",J204))),LEFT(J204,2)&lt;&gt;LEFT(PROD_MostPopularScanner,2)),
LEFT(J204,SEARCH("00",J204)-3),
PROD_MostPopularScanner) &amp; " Install Man"))</f>
        <v>☐ Scan. Install Man</v>
      </c>
      <c r="F206" s="380" t="s">
        <v>275</v>
      </c>
      <c r="G206" s="307" t="s">
        <v>274</v>
      </c>
      <c r="H206" s="439" t="s">
        <v>250</v>
      </c>
      <c r="I206" s="381"/>
      <c r="J206" s="307" t="str">
        <f ca="1">IF(AND(
INDIRECT(
IF(INT((ROW(D206)-10)/30)+1=1,"DENDRO","")&amp;
IF(INT((ROW(D206)-10)/30)+1=2,"CELL","")&amp;
IF(INT((ROW(D206)-10)/30)+1=3,"RHIZO","")&amp;
IF(INT((ROW(D206)-10)/30)+1=4,"RHIZOTRON","")&amp;
IF(INT((ROW(D206)-10)/30)+1=5,"FOLIA","")&amp;
IF(INT((ROW(D206)-10)/30)+1=6,"SEEDLE","")&amp;
IF(INT((ROW(D206)-10)/30)+1=7,"CAM","")&amp;
IF(INT((ROW(D206)-10)/30)+1=8,"SCANOPY","") &amp; "_ChkB_RemoteUpdate"),
INDIRECT(
IF(INT((ROW(D206)-10)/30)+1=1,"DENDRO","")&amp;
IF(INT((ROW(D206)-10)/30)+1=2,"CELL","")&amp;
IF(INT((ROW(D206)-10)/30)+1=3,"RHIZO","")&amp;
IF(INT((ROW(D206)-10)/30)+1=4,"RHIZOTRON","")&amp;
IF(INT((ROW(D206)-10)/30)+1=5,"FOLIA","")&amp;
IF(INT((ROW(D206)-10)/30)+1=6,"SEEDLE","")&amp;
IF(INT((ROW(D206)-10)/30)+1=7,"CAM","")&amp;
IF(INT((ROW(D206)-10)/30)+1=8,"SCANOPY","") &amp; "_ChkBox_UpgradeUpdate")),
"Clé de bois ou Download. Reprogrammation clé client",
"☐ " &amp; IF(AND(QUOTE_Split_SoftwareHardware,QUOTE_InternetDownload),"Man ds env. ""Documents"", Clé ds bulle collée sur env.","Reliée au Man"))</f>
        <v>☐ Reliée au Man</v>
      </c>
      <c r="K206" s="265"/>
      <c r="L206" s="223"/>
      <c r="M206" s="439"/>
      <c r="N206" s="380"/>
      <c r="O206" s="307"/>
      <c r="P206" s="215"/>
      <c r="Q206" s="215"/>
    </row>
    <row r="207" spans="1:17" ht="16.25" customHeight="1" x14ac:dyDescent="0.2">
      <c r="A207" s="421"/>
      <c r="B207" s="296"/>
      <c r="C207" s="904" t="str">
        <f>IF((CAM_N_UpgradeUpdate + CAM_N_Software ) = 2,"",LEFT(INDEX(CAM_SoftwareFullNames,CAM_IndexSoftware),FIND(" ",INDEX(CAM_SoftwareFullNames,CAM_IndexSoftware),FIND(" ",INDEX(CAM_SoftwareFullNames,CAM_IndexSoftware))+6)) &amp;
CAM_YearMostRecent )</f>
        <v/>
      </c>
      <c r="D207" s="904"/>
      <c r="E207" s="304"/>
      <c r="F207" s="304"/>
      <c r="G207" s="275"/>
      <c r="H207" s="261"/>
      <c r="I207" s="261"/>
      <c r="J207" s="275" t="str">
        <f>IF(CAM_N_System-1&gt;=((ROW(G207)-ROW($G$189))/4+1),IF(CAM_IndexScanner=1,"STD4800",IF(CAM_IndexScanner=2,"LA2400","LC4800P")) &amp; " System"&amp; IF(AND(CAM_ClientWithOrWithoutScanner=2,CAM_N_System&gt;1)," Sans Scanner"," Avec Scanner"),
IF(AND(CAM_N_Software&gt;CAM_N_System,CAM_N_Software-1&gt;=((ROW(G207)-ROW($G$189))/4+1)),IF(N_SystemTotal=0,"Software Only",IF(N_STDScanners+N_LAScanners+N_LCScanners=0,"Software Sans Scanner","Software Avec Scanner")),
IF(CAM_N_UpgradeUpdate-1&gt;=((ROW(G207)-ROW($G$189))/4+1)-(MAX(CAM_N_System,CAM_N_Software)-1),"Update","")))</f>
        <v/>
      </c>
      <c r="K207" s="261"/>
      <c r="L207" s="260"/>
      <c r="M207" s="260"/>
      <c r="N207" s="260"/>
      <c r="O207" s="215"/>
      <c r="P207" s="215"/>
      <c r="Q207" s="215"/>
    </row>
    <row r="208" spans="1:17" ht="24" customHeight="1" x14ac:dyDescent="0.2">
      <c r="A208" s="434" t="s">
        <v>258</v>
      </c>
      <c r="B208" s="287" t="s">
        <v>258</v>
      </c>
      <c r="C208" s="378" t="str">
        <f>IF(AND(QUOTE_Split_SoftwareHardware,QUOTE_InternetDownload),"",
"☐☐ Win" &amp;
IF(INT((ROW(D208)-10)/30)+1=1,"DEN","")&amp;
IF(INT((ROW(D208)-10)/30)+1=2,"CEL","")&amp;
IF(INT((ROW(D208)-10)/30)+1=3,"RHI","")&amp;
IF(INT((ROW(D208)-10)/30)+1=4,"RT","")&amp;
IF(INT((ROW(D208)-10)/30)+1=5,"FOL","")&amp;
IF(INT((ROW(D208)-10)/30)+1=6,"SEE","")&amp;
IF(INT((ROW(D208)-10)/30)+1=7,"CAM","")&amp;
IF(INT((ROW(D208)-10)/30)+1=8,"SCA","") &amp; ".exe")</f>
        <v>☐☐ WinCAM.exe</v>
      </c>
      <c r="D208" s="378" t="str">
        <f>IF(AND(QUOTE_Split_SoftwareHardware,QUOTE_InternetDownload),"",
 IF(N("If it is Cam, Do not Show XL")+AND(ROW(D208)&gt;=189,ROW(D208)&lt;=218),"","☐ XL" &amp;
IF(INT((ROW(D208)-10)/30)+1=1,"STEM","")&amp;
IF(INT((ROW(D208)-10)/30)+1=2,"Cell","")&amp;
IF(INT((ROW(D208)-10)/30)+1=3,"Rhizo","")&amp;
IF(INT((ROW(D208)-10)/30)+1=4,"RhizoT","")&amp;
IF(INT((ROW(D208)-10)/30)+1=5,"Folia","")&amp;
IF(INT((ROW(D208)-10)/30)+1=6,"Seedle","")&amp;
IF(INT((ROW(D208)-10)/30)+1=7,"Cam","")&amp;
IF(INT((ROW(D208)-10)/30)+1=8,"Scanopy","") &amp; ".xls"))</f>
        <v/>
      </c>
      <c r="E208" s="378" t="s">
        <v>299</v>
      </c>
      <c r="F208" s="379" t="s">
        <v>152</v>
      </c>
      <c r="G208" s="378" t="str">
        <f xml:space="preserve"> IF(N("If it is Cam, Do not Show XL")+AND(ROW(G208)&gt;=189,ROW(G208)&lt;=218),"","☐ XL Man")</f>
        <v/>
      </c>
      <c r="H208" s="379" t="s">
        <v>280</v>
      </c>
      <c r="I208" s="307" t="s">
        <v>274</v>
      </c>
      <c r="J208" s="379" t="str">
        <f>IF(N("Si OR dessous = vrai, pas de box")+OR(
N("1 OR Tron ou CELL")+OR(AND(ROW(E208)&gt;=39,ROW(E208)&lt;=68),AND(ROW(E208)&gt;=99,ROW(E208)&lt;=128)),
N("2 Pas de système scanopy and range opy")+AND(ROW(E208)&gt;=219,ROW(E208)&lt;=248,SCANOPY_N_System&lt;2),
N("3 Avec LC") + IF(AND(IF(PROD_MostPopularScanner="LC",1,0), NOT(AND(ROW(E208)&gt;=129,ROW(E208)&lt;=158)), NOT(AND(ROW(E208)&gt;=189,ROW(E208)&lt;=218))),1,0)
),"","☐ ")
&amp;
IF(N("If it's OPY, put OMount Manual instead")+
AND(ROW(D208)&gt;=219,ROW(D208)&lt;=248),
IF(SCANOPY_N_System&gt;1,
IF(SCANOPY_IndexScanner=1,"α" &amp; SCANOPY_CameraModel,SCANOPY_CameraModel_Mini) &amp; " Man",""),
IF(N("Empty si OR = true . . .If it is Cell or Tron, Do not Show Scanner related items + Hide if LC is favorite on unavailable product")+OR(
AND(ROW(E208)&gt;=39,ROW(E208)&lt;=68),
AND(ROW(E208)&gt;=99,ROW(E208)&lt;=128),
AND(IF(PROD_MostPopularScanner="LC",1,0), NOT(AND(ROW(E208)&gt;=129,ROW(E208)&lt;=158)), NOT(AND(ROW(E208)&gt;=189,ROW(E208)&lt;=218))),
0=1),
    "", IF(1=N("Si système a un scanner différent du Scanner populaire alors différent, sinon Scanner populaire")+AND(NOT(ISERROR(SEARCH("System",J207))),LEFT(J207,2)&lt;&gt;LEFT(PROD_MostPopularScanner,2)),
LEFT(J207,SEARCH("00",J207)-3),
PROD_MostPopularScanner) &amp; " Install Man"))</f>
        <v>☐ Scan. Install Man</v>
      </c>
      <c r="K208" s="378" t="str">
        <f>IF(N("If it is Cell or Tron or OPY, Do not Show Twain")+OR(AND(ROW(K208)&gt;=39,ROW(K208)&lt;=68),AND(ROW(K208)&gt;=99,ROW(K208)&lt;=128),AND(ROW(J208)&gt;=219,ROW(J208)&lt;=248)),"","☐ TWAIN")</f>
        <v>☐ TWAIN</v>
      </c>
      <c r="L208" s="379" t="str">
        <f>IF(AND(IF(PROD_MostPopularScanner="LC",1,0), NOT(AND(ROW(E208)&gt;=129,ROW(E208)&lt;=158)), NOT(AND(ROW(E208)&gt;=189,ROW(E208)&lt;=218))),"",
IF(N("Si OR dessous = vrai, pas de box")+OR(
N("1 OR Dendro+CELL, Tron+Folia,Cam")+OR(
AND(ROW(K208)&gt;=9,ROW(K208)&lt;=68),
AND(ROW(K208)&gt;=99,ROW(K208)&lt;=158),
AND(ROW(K208)&gt;=189,ROW(K208)&lt;=218)),
N("2 Pas de système scanopy and range opy")+AND(ROW(K208)&gt;=219,ROW(K208)&lt;=248,SCANOPY_N_System&lt;2),
N("3 Avec LC")&amp;IF(ISERROR(LEFT(J207,SEARCH("00",J207)-3)),"",LEFT(J207,SEARCH("00",J207)-3))="LC"),"","☐ ")
&amp;
IF(N("If it's OPY, put OMount Manual instead")+
AND(ROW(J208)&gt;=219,ROW(J208)&lt;=248),
IF(SCANOPY_N_System&gt;1,"OMount Man",""),
IF(N("If it is Dendro+CELL, Tron+Folia or Cam, Do not Show Scanner related items+No Video if LC")+OR(
AND(ROW(K208)&gt;=9,ROW(K208)&lt;=68),
AND(ROW(K208)&gt;=99,ROW(K208)&lt;=158),
AND(ROW(K208)&gt;=189,ROW(K208)&lt;=218),
IF(ISERROR(LEFT(J207,SEARCH("00",J207)-3)),"",LEFT(J207,SEARCH("00",J207)-3))="LC"),
    "", "Video " &amp; IF(1=N("Si système a un scanner différent du Scanner populaire alors différent, sinon Scanner populaire")+AND(NOT(ISERROR(SEARCH("System",J207))),LEFT(J207,2)&lt;&gt;LEFT(PROD_MostPopularScanner,2)),
LEFT(J207,SEARCH("00",J207)-3),
PROD_MostPopularScanner) &amp; " Install"))
)</f>
        <v/>
      </c>
      <c r="M208" s="378" t="str">
        <f>IF(N("If it is Dendro or Tron, Do not Show Color Analysis Video")+
OR(AND(ROW(L208)&gt;=9,ROW(L208)&lt;=38),
AND(ROW(L208)&gt;=99,ROW(L208)&lt;=128)), "","☐ Video ClrAna")</f>
        <v>☐ Video ClrAna</v>
      </c>
      <c r="N208" s="379" t="str">
        <f>IF(OR(INT((ROW(D208)-10)/30)+1=2,INT((ROW(D208)-10)/30)+1=4),"","☐ ")&amp;
IF(INT((ROW(D208)-10)/30)+1=1,"Scanner.cal","")&amp;
IF(INT((ROW(D208)-10)/30)+1=2,"","")&amp;
IF(INT((ROW(D208)-10)/30)+1=3,"Scanner.cal","")&amp;
IF(INT((ROW(D208)-10)/30)+1=4,"","")&amp;
IF(INT((ROW(D208)-10)/30)+1=5,"Scanner.cal","")&amp;
IF(INT((ROW(D208)-10)/30)+1=6,"Scanner.cal","")&amp;
IF(INT((ROW(D208)-10)/30)+1=7,"Scanner.cal","")&amp;
IF(INT((ROW(D208)-10)/30)+1=8,"Indiv" &amp; " Lens.cal","")</f>
        <v>☐ Scanner.cal</v>
      </c>
      <c r="O208" s="307" t="str">
        <f>IF(AND(ROW(L208)&gt;=9,ROW(L208)&lt;=38),"☐ RegentTarget.blu","")</f>
        <v/>
      </c>
      <c r="P208" s="215"/>
      <c r="Q208" s="215"/>
    </row>
    <row r="209" spans="1:17" ht="24" customHeight="1" x14ac:dyDescent="0.2">
      <c r="A209" s="434" t="s">
        <v>259</v>
      </c>
      <c r="B209" s="224" t="s">
        <v>259</v>
      </c>
      <c r="C209" s="307" t="s">
        <v>152</v>
      </c>
      <c r="D209" s="307" t="str">
        <f xml:space="preserve"> IF(N("If it is Cam, Do not Show XL")+AND(ROW(D209)&gt;=189,ROW(D209)&lt;=218),"","☐ XL Man")</f>
        <v/>
      </c>
      <c r="E209" s="437" t="str">
        <f>IF(N("Si OR dessous = vrai, pas de box")+OR(
N("1 OR Tron ou CELL")+OR(AND(ROW(K208)&gt;=39,ROW(K208)&lt;=68),AND(ROW(K208)&gt;=99,ROW(K208)&lt;=128)),
N("2 Pas de système scanopy and range opy")+AND(ROW(K208)&gt;=219,ROW(K208)&lt;=248,SCANOPY_N_System&lt;2),
N("3 Avec LC")&amp;IF(ISERROR(LEFT(J207,SEARCH("00",J207)-3)),"",LEFT(J207,SEARCH("00",J207)-3))="LC"),"","☐ ")
&amp;
IF(N("If it's OPY, put OMount Manual instead")+
AND(ROW(J208)&gt;=219,ROW(J208)&lt;=248),
IF(SCANOPY_N_System&gt;1,"OMount Man",""),
IF(N("If it is Cell or Tron, Do not Show Scanner related items")+OR(
AND(ROW(K208)&gt;=39,ROW(K208)&lt;=68),
AND(ROW(K208)&gt;=99,ROW(K208)&lt;=128)),
    "", IF(1=N("Si système a un scanner différent du Scanner populaire alors différent, sinon Scanner populaire")+AND(NOT(ISERROR(SEARCH("System",J207))),LEFT(J207,2)&lt;&gt;LEFT(PROD_MostPopularScanner,2)),
LEFT(J207,SEARCH("00",J207)-3),
PROD_MostPopularScanner) &amp; " Install Man"))</f>
        <v>☐ Scan. Install Man</v>
      </c>
      <c r="F209" s="380" t="s">
        <v>275</v>
      </c>
      <c r="G209" s="307" t="s">
        <v>274</v>
      </c>
      <c r="H209" s="439" t="s">
        <v>250</v>
      </c>
      <c r="I209" s="381"/>
      <c r="J209" s="307" t="str">
        <f ca="1">IF(AND(
INDIRECT(
IF(INT((ROW(D209)-10)/30)+1=1,"DENDRO","")&amp;
IF(INT((ROW(D209)-10)/30)+1=2,"CELL","")&amp;
IF(INT((ROW(D209)-10)/30)+1=3,"RHIZO","")&amp;
IF(INT((ROW(D209)-10)/30)+1=4,"RHIZOTRON","")&amp;
IF(INT((ROW(D209)-10)/30)+1=5,"FOLIA","")&amp;
IF(INT((ROW(D209)-10)/30)+1=6,"SEEDLE","")&amp;
IF(INT((ROW(D209)-10)/30)+1=7,"CAM","")&amp;
IF(INT((ROW(D209)-10)/30)+1=8,"SCANOPY","") &amp; "_ChkB_RemoteUpdate"),
INDIRECT(
IF(INT((ROW(D209)-10)/30)+1=1,"DENDRO","")&amp;
IF(INT((ROW(D209)-10)/30)+1=2,"CELL","")&amp;
IF(INT((ROW(D209)-10)/30)+1=3,"RHIZO","")&amp;
IF(INT((ROW(D209)-10)/30)+1=4,"RHIZOTRON","")&amp;
IF(INT((ROW(D209)-10)/30)+1=5,"FOLIA","")&amp;
IF(INT((ROW(D209)-10)/30)+1=6,"SEEDLE","")&amp;
IF(INT((ROW(D209)-10)/30)+1=7,"CAM","")&amp;
IF(INT((ROW(D209)-10)/30)+1=8,"SCANOPY","") &amp; "_ChkBox_UpgradeUpdate")),
"Clé de bois ou Download. Reprogrammation clé client",
"☐ " &amp; IF(AND(QUOTE_Split_SoftwareHardware,QUOTE_InternetDownload),"Man ds env. ""Documents"", Clé ds bulle collée sur env.","Reliée au Man"))</f>
        <v>☐ Reliée au Man</v>
      </c>
      <c r="K209" s="265"/>
      <c r="L209" s="223"/>
      <c r="M209" s="439"/>
      <c r="N209" s="380"/>
      <c r="O209" s="307"/>
      <c r="P209" s="215"/>
      <c r="Q209" s="215"/>
    </row>
    <row r="210" spans="1:17" ht="16.25" customHeight="1" x14ac:dyDescent="0.2">
      <c r="A210" s="421"/>
      <c r="B210" s="296"/>
      <c r="C210" s="904" t="str">
        <f>IF((CAM_N_UpgradeUpdate + CAM_N_Software ) = 2,"",LEFT(INDEX(CAM_SoftwareFullNames,CAM_IndexSoftware),FIND(" ",INDEX(CAM_SoftwareFullNames,CAM_IndexSoftware),FIND(" ",INDEX(CAM_SoftwareFullNames,CAM_IndexSoftware))+6)) &amp;
CAM_YearMostRecent )</f>
        <v/>
      </c>
      <c r="D210" s="904"/>
      <c r="E210" s="304"/>
      <c r="F210" s="304"/>
      <c r="G210" s="275"/>
      <c r="H210" s="261"/>
      <c r="I210" s="261"/>
      <c r="J210" s="275" t="str">
        <f>IF(CAM_N_System-1&gt;=((ROW(G210)-ROW($G$189))/4+1),IF(CAM_IndexScanner=1,"STD4800",IF(CAM_IndexScanner=2,"LA2400","LC4800P")) &amp; " System"&amp; IF(AND(CAM_ClientWithOrWithoutScanner=2,CAM_N_System&gt;1)," Sans Scanner"," Avec Scanner"),
IF(AND(CAM_N_Software&gt;CAM_N_System,CAM_N_Software-1&gt;=((ROW(G210)-ROW($G$189))/4+1)),IF(N_SystemTotal=0,"Software Only",IF(N_STDScanners+N_LAScanners+N_LCScanners=0,"Software Sans Scanner","Software Avec Scanner")),
IF(CAM_N_UpgradeUpdate-1&gt;=((ROW(G210)-ROW($G$189))/4+1)-(MAX(CAM_N_System,CAM_N_Software)-1),"Update","")))</f>
        <v/>
      </c>
      <c r="K210" s="261"/>
      <c r="L210" s="260"/>
      <c r="M210" s="260"/>
      <c r="N210" s="260"/>
      <c r="O210" s="215"/>
      <c r="P210" s="215"/>
      <c r="Q210" s="215"/>
    </row>
    <row r="211" spans="1:17" ht="24" customHeight="1" x14ac:dyDescent="0.2">
      <c r="A211" s="434" t="s">
        <v>258</v>
      </c>
      <c r="B211" s="287" t="s">
        <v>258</v>
      </c>
      <c r="C211" s="378" t="str">
        <f>IF(AND(QUOTE_Split_SoftwareHardware,QUOTE_InternetDownload),"",
"☐☐ Win" &amp;
IF(INT((ROW(D211)-10)/30)+1=1,"DEN","")&amp;
IF(INT((ROW(D211)-10)/30)+1=2,"CEL","")&amp;
IF(INT((ROW(D211)-10)/30)+1=3,"RHI","")&amp;
IF(INT((ROW(D211)-10)/30)+1=4,"RT","")&amp;
IF(INT((ROW(D211)-10)/30)+1=5,"FOL","")&amp;
IF(INT((ROW(D211)-10)/30)+1=6,"SEE","")&amp;
IF(INT((ROW(D211)-10)/30)+1=7,"CAM","")&amp;
IF(INT((ROW(D211)-10)/30)+1=8,"SCA","") &amp; ".exe")</f>
        <v>☐☐ WinCAM.exe</v>
      </c>
      <c r="D211" s="378" t="str">
        <f>IF(AND(QUOTE_Split_SoftwareHardware,QUOTE_InternetDownload),"",
 IF(N("If it is Cam, Do not Show XL")+AND(ROW(D211)&gt;=189,ROW(D211)&lt;=218),"","☐ XL" &amp;
IF(INT((ROW(D211)-10)/30)+1=1,"STEM","")&amp;
IF(INT((ROW(D211)-10)/30)+1=2,"Cell","")&amp;
IF(INT((ROW(D211)-10)/30)+1=3,"Rhizo","")&amp;
IF(INT((ROW(D211)-10)/30)+1=4,"RhizoT","")&amp;
IF(INT((ROW(D211)-10)/30)+1=5,"Folia","")&amp;
IF(INT((ROW(D211)-10)/30)+1=6,"Seedle","")&amp;
IF(INT((ROW(D211)-10)/30)+1=7,"Cam","")&amp;
IF(INT((ROW(D211)-10)/30)+1=8,"Scanopy","") &amp; ".xls"))</f>
        <v/>
      </c>
      <c r="E211" s="378" t="s">
        <v>299</v>
      </c>
      <c r="F211" s="379" t="s">
        <v>152</v>
      </c>
      <c r="G211" s="378" t="str">
        <f xml:space="preserve"> IF(N("If it is Cam, Do not Show XL")+AND(ROW(G211)&gt;=189,ROW(G211)&lt;=218),"","☐ XL Man")</f>
        <v/>
      </c>
      <c r="H211" s="379" t="s">
        <v>280</v>
      </c>
      <c r="I211" s="307" t="s">
        <v>274</v>
      </c>
      <c r="J211" s="379" t="str">
        <f>IF(N("Si OR dessous = vrai, pas de box")+OR(
N("1 OR Tron ou CELL")+OR(AND(ROW(E211)&gt;=39,ROW(E211)&lt;=68),AND(ROW(E211)&gt;=99,ROW(E211)&lt;=128)),
N("2 Pas de système scanopy and range opy")+AND(ROW(E211)&gt;=219,ROW(E211)&lt;=248,SCANOPY_N_System&lt;2),
N("3 Avec LC") + IF(AND(IF(PROD_MostPopularScanner="LC",1,0), NOT(AND(ROW(E211)&gt;=129,ROW(E211)&lt;=158)), NOT(AND(ROW(E211)&gt;=189,ROW(E211)&lt;=218))),1,0)
),"","☐ ")
&amp;
IF(N("If it's OPY, put OMount Manual instead")+
AND(ROW(D211)&gt;=219,ROW(D211)&lt;=248),
IF(SCANOPY_N_System&gt;1,
IF(SCANOPY_IndexScanner=1,"α" &amp; SCANOPY_CameraModel,SCANOPY_CameraModel_Mini) &amp; " Man",""),
IF(N("Empty si OR = true . . .If it is Cell or Tron, Do not Show Scanner related items + Hide if LC is favorite on unavailable product")+OR(
AND(ROW(E211)&gt;=39,ROW(E211)&lt;=68),
AND(ROW(E211)&gt;=99,ROW(E211)&lt;=128),
AND(IF(PROD_MostPopularScanner="LC",1,0), NOT(AND(ROW(E211)&gt;=129,ROW(E211)&lt;=158)), NOT(AND(ROW(E211)&gt;=189,ROW(E211)&lt;=218))),
0=1),
    "", IF(1=N("Si système a un scanner différent du Scanner populaire alors différent, sinon Scanner populaire")+AND(NOT(ISERROR(SEARCH("System",J210))),LEFT(J210,2)&lt;&gt;LEFT(PROD_MostPopularScanner,2)),
LEFT(J210,SEARCH("00",J210)-3),
PROD_MostPopularScanner) &amp; " Install Man"))</f>
        <v>☐ Scan. Install Man</v>
      </c>
      <c r="K211" s="378" t="str">
        <f>IF(N("If it is Cell or Tron or OPY, Do not Show Twain")+OR(AND(ROW(K211)&gt;=39,ROW(K211)&lt;=68),AND(ROW(K211)&gt;=99,ROW(K211)&lt;=128),AND(ROW(J211)&gt;=219,ROW(J211)&lt;=248)),"","☐ TWAIN")</f>
        <v>☐ TWAIN</v>
      </c>
      <c r="L211" s="379" t="str">
        <f>IF(AND(IF(PROD_MostPopularScanner="LC",1,0), NOT(AND(ROW(E211)&gt;=129,ROW(E211)&lt;=158)), NOT(AND(ROW(E211)&gt;=189,ROW(E211)&lt;=218))),"",
IF(N("Si OR dessous = vrai, pas de box")+OR(
N("1 OR Dendro+CELL, Tron+Folia,Cam")+OR(
AND(ROW(K211)&gt;=9,ROW(K211)&lt;=68),
AND(ROW(K211)&gt;=99,ROW(K211)&lt;=158),
AND(ROW(K211)&gt;=189,ROW(K211)&lt;=218)),
N("2 Pas de système scanopy and range opy")+AND(ROW(K211)&gt;=219,ROW(K211)&lt;=248,SCANOPY_N_System&lt;2),
N("3 Avec LC")&amp;IF(ISERROR(LEFT(J210,SEARCH("00",J210)-3)),"",LEFT(J210,SEARCH("00",J210)-3))="LC"),"","☐ ")
&amp;
IF(N("If it's OPY, put OMount Manual instead")+
AND(ROW(J211)&gt;=219,ROW(J211)&lt;=248),
IF(SCANOPY_N_System&gt;1,"OMount Man",""),
IF(N("If it is Dendro+CELL, Tron+Folia or Cam, Do not Show Scanner related items+No Video if LC")+OR(
AND(ROW(K211)&gt;=9,ROW(K211)&lt;=68),
AND(ROW(K211)&gt;=99,ROW(K211)&lt;=158),
AND(ROW(K211)&gt;=189,ROW(K211)&lt;=218),
IF(ISERROR(LEFT(J210,SEARCH("00",J210)-3)),"",LEFT(J210,SEARCH("00",J210)-3))="LC"),
    "", "Video " &amp; IF(1=N("Si système a un scanner différent du Scanner populaire alors différent, sinon Scanner populaire")+AND(NOT(ISERROR(SEARCH("System",J210))),LEFT(J210,2)&lt;&gt;LEFT(PROD_MostPopularScanner,2)),
LEFT(J210,SEARCH("00",J210)-3),
PROD_MostPopularScanner) &amp; " Install"))
)</f>
        <v/>
      </c>
      <c r="M211" s="378" t="str">
        <f>IF(N("If it is Dendro or Tron, Do not Show Color Analysis Video")+
OR(AND(ROW(L211)&gt;=9,ROW(L211)&lt;=38),
AND(ROW(L211)&gt;=99,ROW(L211)&lt;=128)), "","☐ Video ClrAna")</f>
        <v>☐ Video ClrAna</v>
      </c>
      <c r="N211" s="379" t="str">
        <f>IF(OR(INT((ROW(D211)-10)/30)+1=2,INT((ROW(D211)-10)/30)+1=4),"","☐ ")&amp;
IF(INT((ROW(D211)-10)/30)+1=1,"Scanner.cal","")&amp;
IF(INT((ROW(D211)-10)/30)+1=2,"","")&amp;
IF(INT((ROW(D211)-10)/30)+1=3,"Scanner.cal","")&amp;
IF(INT((ROW(D211)-10)/30)+1=4,"","")&amp;
IF(INT((ROW(D211)-10)/30)+1=5,"Scanner.cal","")&amp;
IF(INT((ROW(D211)-10)/30)+1=6,"Scanner.cal","")&amp;
IF(INT((ROW(D211)-10)/30)+1=7,"Scanner.cal","")&amp;
IF(INT((ROW(D211)-10)/30)+1=8,"Indiv" &amp; " Lens.cal","")</f>
        <v>☐ Scanner.cal</v>
      </c>
      <c r="O211" s="307" t="str">
        <f>IF(AND(ROW(L211)&gt;=9,ROW(L211)&lt;=38),"☐ RegentTarget.blu","")</f>
        <v/>
      </c>
      <c r="P211" s="215"/>
      <c r="Q211" s="215"/>
    </row>
    <row r="212" spans="1:17" ht="24" customHeight="1" x14ac:dyDescent="0.2">
      <c r="A212" s="434" t="s">
        <v>259</v>
      </c>
      <c r="B212" s="224" t="s">
        <v>259</v>
      </c>
      <c r="C212" s="307" t="s">
        <v>152</v>
      </c>
      <c r="D212" s="307" t="str">
        <f xml:space="preserve"> IF(N("If it is Cam, Do not Show XL")+AND(ROW(D212)&gt;=189,ROW(D212)&lt;=218),"","☐ XL Man")</f>
        <v/>
      </c>
      <c r="E212" s="437" t="str">
        <f>IF(N("Si OR dessous = vrai, pas de box")+OR(
N("1 OR Tron ou CELL")+OR(AND(ROW(K211)&gt;=39,ROW(K211)&lt;=68),AND(ROW(K211)&gt;=99,ROW(K211)&lt;=128)),
N("2 Pas de système scanopy and range opy")+AND(ROW(K211)&gt;=219,ROW(K211)&lt;=248,SCANOPY_N_System&lt;2),
N("3 Avec LC")&amp;IF(ISERROR(LEFT(J210,SEARCH("00",J210)-3)),"",LEFT(J210,SEARCH("00",J210)-3))="LC"),"","☐ ")
&amp;
IF(N("If it's OPY, put OMount Manual instead")+
AND(ROW(J211)&gt;=219,ROW(J211)&lt;=248),
IF(SCANOPY_N_System&gt;1,"OMount Man",""),
IF(N("If it is Cell or Tron, Do not Show Scanner related items")+OR(
AND(ROW(K211)&gt;=39,ROW(K211)&lt;=68),
AND(ROW(K211)&gt;=99,ROW(K211)&lt;=128)),
    "", IF(1=N("Si système a un scanner différent du Scanner populaire alors différent, sinon Scanner populaire")+AND(NOT(ISERROR(SEARCH("System",J210))),LEFT(J210,2)&lt;&gt;LEFT(PROD_MostPopularScanner,2)),
LEFT(J210,SEARCH("00",J210)-3),
PROD_MostPopularScanner) &amp; " Install Man"))</f>
        <v>☐ Scan. Install Man</v>
      </c>
      <c r="F212" s="380" t="s">
        <v>275</v>
      </c>
      <c r="G212" s="307" t="s">
        <v>274</v>
      </c>
      <c r="H212" s="439" t="s">
        <v>250</v>
      </c>
      <c r="I212" s="381"/>
      <c r="J212" s="307" t="str">
        <f ca="1">IF(AND(
INDIRECT(
IF(INT((ROW(D212)-10)/30)+1=1,"DENDRO","")&amp;
IF(INT((ROW(D212)-10)/30)+1=2,"CELL","")&amp;
IF(INT((ROW(D212)-10)/30)+1=3,"RHIZO","")&amp;
IF(INT((ROW(D212)-10)/30)+1=4,"RHIZOTRON","")&amp;
IF(INT((ROW(D212)-10)/30)+1=5,"FOLIA","")&amp;
IF(INT((ROW(D212)-10)/30)+1=6,"SEEDLE","")&amp;
IF(INT((ROW(D212)-10)/30)+1=7,"CAM","")&amp;
IF(INT((ROW(D212)-10)/30)+1=8,"SCANOPY","") &amp; "_ChkB_RemoteUpdate"),
INDIRECT(
IF(INT((ROW(D212)-10)/30)+1=1,"DENDRO","")&amp;
IF(INT((ROW(D212)-10)/30)+1=2,"CELL","")&amp;
IF(INT((ROW(D212)-10)/30)+1=3,"RHIZO","")&amp;
IF(INT((ROW(D212)-10)/30)+1=4,"RHIZOTRON","")&amp;
IF(INT((ROW(D212)-10)/30)+1=5,"FOLIA","")&amp;
IF(INT((ROW(D212)-10)/30)+1=6,"SEEDLE","")&amp;
IF(INT((ROW(D212)-10)/30)+1=7,"CAM","")&amp;
IF(INT((ROW(D212)-10)/30)+1=8,"SCANOPY","") &amp; "_ChkBox_UpgradeUpdate")),
"Clé de bois ou Download. Reprogrammation clé client",
"☐ " &amp; IF(AND(QUOTE_Split_SoftwareHardware,QUOTE_InternetDownload),"Man ds env. ""Documents"", Clé ds bulle collée sur env.","Reliée au Man"))</f>
        <v>☐ Reliée au Man</v>
      </c>
      <c r="K212" s="265"/>
      <c r="L212" s="223"/>
      <c r="M212" s="439"/>
      <c r="N212" s="380"/>
      <c r="O212" s="307"/>
      <c r="P212" s="215"/>
      <c r="Q212" s="215"/>
    </row>
    <row r="213" spans="1:17" ht="16.25" customHeight="1" x14ac:dyDescent="0.2">
      <c r="A213" s="421"/>
      <c r="B213" s="296"/>
      <c r="C213" s="904" t="str">
        <f>IF((CAM_N_UpgradeUpdate + CAM_N_Software ) = 2,"",LEFT(INDEX(CAM_SoftwareFullNames,CAM_IndexSoftware),FIND(" ",INDEX(CAM_SoftwareFullNames,CAM_IndexSoftware),FIND(" ",INDEX(CAM_SoftwareFullNames,CAM_IndexSoftware))+6)) &amp;
CAM_YearMostRecent )</f>
        <v/>
      </c>
      <c r="D213" s="904"/>
      <c r="E213" s="304"/>
      <c r="F213" s="304"/>
      <c r="G213" s="275"/>
      <c r="H213" s="261"/>
      <c r="I213" s="261"/>
      <c r="J213" s="275" t="str">
        <f>IF(CAM_N_System-1&gt;=((ROW(G213)-ROW($G$189))/4+1),IF(CAM_IndexScanner=1,"STD4800",IF(CAM_IndexScanner=2,"LA2400","LC4800P")) &amp; " System"&amp; IF(AND(CAM_ClientWithOrWithoutScanner=2,CAM_N_System&gt;1)," Sans Scanner"," Avec Scanner"),
IF(AND(CAM_N_Software&gt;CAM_N_System,CAM_N_Software-1&gt;=((ROW(G213)-ROW($G$189))/4+1)),IF(N_SystemTotal=0,"Software Only",IF(N_STDScanners+N_LAScanners+N_LCScanners=0,"Software Sans Scanner","Software Avec Scanner")),
IF(CAM_N_UpgradeUpdate-1&gt;=((ROW(G213)-ROW($G$189))/4+1)-(MAX(CAM_N_System,CAM_N_Software)-1),"Update","")))</f>
        <v/>
      </c>
      <c r="K213" s="261"/>
      <c r="L213" s="260"/>
      <c r="M213" s="260"/>
      <c r="N213" s="260"/>
      <c r="O213" s="215"/>
      <c r="P213" s="215"/>
      <c r="Q213" s="215"/>
    </row>
    <row r="214" spans="1:17" ht="24" customHeight="1" x14ac:dyDescent="0.2">
      <c r="A214" s="434" t="s">
        <v>258</v>
      </c>
      <c r="B214" s="287" t="s">
        <v>258</v>
      </c>
      <c r="C214" s="378" t="str">
        <f>IF(AND(QUOTE_Split_SoftwareHardware,QUOTE_InternetDownload),"",
"☐☐ Win" &amp;
IF(INT((ROW(D214)-10)/30)+1=1,"DEN","")&amp;
IF(INT((ROW(D214)-10)/30)+1=2,"CEL","")&amp;
IF(INT((ROW(D214)-10)/30)+1=3,"RHI","")&amp;
IF(INT((ROW(D214)-10)/30)+1=4,"RT","")&amp;
IF(INT((ROW(D214)-10)/30)+1=5,"FOL","")&amp;
IF(INT((ROW(D214)-10)/30)+1=6,"SEE","")&amp;
IF(INT((ROW(D214)-10)/30)+1=7,"CAM","")&amp;
IF(INT((ROW(D214)-10)/30)+1=8,"SCA","") &amp; ".exe")</f>
        <v>☐☐ WinCAM.exe</v>
      </c>
      <c r="D214" s="378" t="str">
        <f>IF(AND(QUOTE_Split_SoftwareHardware,QUOTE_InternetDownload),"",
 IF(N("If it is Cam, Do not Show XL")+AND(ROW(D214)&gt;=189,ROW(D214)&lt;=218),"","☐ XL" &amp;
IF(INT((ROW(D214)-10)/30)+1=1,"STEM","")&amp;
IF(INT((ROW(D214)-10)/30)+1=2,"Cell","")&amp;
IF(INT((ROW(D214)-10)/30)+1=3,"Rhizo","")&amp;
IF(INT((ROW(D214)-10)/30)+1=4,"RhizoT","")&amp;
IF(INT((ROW(D214)-10)/30)+1=5,"Folia","")&amp;
IF(INT((ROW(D214)-10)/30)+1=6,"Seedle","")&amp;
IF(INT((ROW(D214)-10)/30)+1=7,"Cam","")&amp;
IF(INT((ROW(D214)-10)/30)+1=8,"Scanopy","") &amp; ".xls"))</f>
        <v/>
      </c>
      <c r="E214" s="378" t="s">
        <v>299</v>
      </c>
      <c r="F214" s="379" t="s">
        <v>152</v>
      </c>
      <c r="G214" s="378" t="str">
        <f xml:space="preserve"> IF(N("If it is Cam, Do not Show XL")+AND(ROW(G214)&gt;=189,ROW(G214)&lt;=218),"","☐ XL Man")</f>
        <v/>
      </c>
      <c r="H214" s="379" t="s">
        <v>280</v>
      </c>
      <c r="I214" s="307" t="s">
        <v>274</v>
      </c>
      <c r="J214" s="379" t="str">
        <f>IF(N("Si OR dessous = vrai, pas de box")+OR(
N("1 OR Tron ou CELL")+OR(AND(ROW(E214)&gt;=39,ROW(E214)&lt;=68),AND(ROW(E214)&gt;=99,ROW(E214)&lt;=128)),
N("2 Pas de système scanopy and range opy")+AND(ROW(E214)&gt;=219,ROW(E214)&lt;=248,SCANOPY_N_System&lt;2),
N("3 Avec LC") + IF(AND(IF(PROD_MostPopularScanner="LC",1,0), NOT(AND(ROW(E214)&gt;=129,ROW(E214)&lt;=158)), NOT(AND(ROW(E214)&gt;=189,ROW(E214)&lt;=218))),1,0)
),"","☐ ")
&amp;
IF(N("If it's OPY, put OMount Manual instead")+
AND(ROW(D214)&gt;=219,ROW(D214)&lt;=248),
IF(SCANOPY_N_System&gt;1,
IF(SCANOPY_IndexScanner=1,"α" &amp; SCANOPY_CameraModel,SCANOPY_CameraModel_Mini) &amp; " Man",""),
IF(N("Empty si OR = true . . .If it is Cell or Tron, Do not Show Scanner related items + Hide if LC is favorite on unavailable product")+OR(
AND(ROW(E214)&gt;=39,ROW(E214)&lt;=68),
AND(ROW(E214)&gt;=99,ROW(E214)&lt;=128),
AND(IF(PROD_MostPopularScanner="LC",1,0), NOT(AND(ROW(E214)&gt;=129,ROW(E214)&lt;=158)), NOT(AND(ROW(E214)&gt;=189,ROW(E214)&lt;=218))),
0=1),
    "", IF(1=N("Si système a un scanner différent du Scanner populaire alors différent, sinon Scanner populaire")+AND(NOT(ISERROR(SEARCH("System",J213))),LEFT(J213,2)&lt;&gt;LEFT(PROD_MostPopularScanner,2)),
LEFT(J213,SEARCH("00",J213)-3),
PROD_MostPopularScanner) &amp; " Install Man"))</f>
        <v>☐ Scan. Install Man</v>
      </c>
      <c r="K214" s="378" t="str">
        <f>IF(N("If it is Cell or Tron or OPY, Do not Show Twain")+OR(AND(ROW(K214)&gt;=39,ROW(K214)&lt;=68),AND(ROW(K214)&gt;=99,ROW(K214)&lt;=128),AND(ROW(J214)&gt;=219,ROW(J214)&lt;=248)),"","☐ TWAIN")</f>
        <v>☐ TWAIN</v>
      </c>
      <c r="L214" s="379" t="str">
        <f>IF(AND(IF(PROD_MostPopularScanner="LC",1,0), NOT(AND(ROW(E214)&gt;=129,ROW(E214)&lt;=158)), NOT(AND(ROW(E214)&gt;=189,ROW(E214)&lt;=218))),"",
IF(N("Si OR dessous = vrai, pas de box")+OR(
N("1 OR Dendro+CELL, Tron+Folia,Cam")+OR(
AND(ROW(K214)&gt;=9,ROW(K214)&lt;=68),
AND(ROW(K214)&gt;=99,ROW(K214)&lt;=158),
AND(ROW(K214)&gt;=189,ROW(K214)&lt;=218)),
N("2 Pas de système scanopy and range opy")+AND(ROW(K214)&gt;=219,ROW(K214)&lt;=248,SCANOPY_N_System&lt;2),
N("3 Avec LC")&amp;IF(ISERROR(LEFT(J213,SEARCH("00",J213)-3)),"",LEFT(J213,SEARCH("00",J213)-3))="LC"),"","☐ ")
&amp;
IF(N("If it's OPY, put OMount Manual instead")+
AND(ROW(J214)&gt;=219,ROW(J214)&lt;=248),
IF(SCANOPY_N_System&gt;1,"OMount Man",""),
IF(N("If it is Dendro+CELL, Tron+Folia or Cam, Do not Show Scanner related items+No Video if LC")+OR(
AND(ROW(K214)&gt;=9,ROW(K214)&lt;=68),
AND(ROW(K214)&gt;=99,ROW(K214)&lt;=158),
AND(ROW(K214)&gt;=189,ROW(K214)&lt;=218),
IF(ISERROR(LEFT(J213,SEARCH("00",J213)-3)),"",LEFT(J213,SEARCH("00",J213)-3))="LC"),
    "", "Video " &amp; IF(1=N("Si système a un scanner différent du Scanner populaire alors différent, sinon Scanner populaire")+AND(NOT(ISERROR(SEARCH("System",J213))),LEFT(J213,2)&lt;&gt;LEFT(PROD_MostPopularScanner,2)),
LEFT(J213,SEARCH("00",J213)-3),
PROD_MostPopularScanner) &amp; " Install"))
)</f>
        <v/>
      </c>
      <c r="M214" s="378" t="str">
        <f>IF(N("If it is Dendro or Tron, Do not Show Color Analysis Video")+
OR(AND(ROW(L214)&gt;=9,ROW(L214)&lt;=38),
AND(ROW(L214)&gt;=99,ROW(L214)&lt;=128)), "","☐ Video ClrAna")</f>
        <v>☐ Video ClrAna</v>
      </c>
      <c r="N214" s="379" t="str">
        <f>IF(OR(INT((ROW(D214)-10)/30)+1=2,INT((ROW(D214)-10)/30)+1=4),"","☐ ")&amp;
IF(INT((ROW(D214)-10)/30)+1=1,"Scanner.cal","")&amp;
IF(INT((ROW(D214)-10)/30)+1=2,"","")&amp;
IF(INT((ROW(D214)-10)/30)+1=3,"Scanner.cal","")&amp;
IF(INT((ROW(D214)-10)/30)+1=4,"","")&amp;
IF(INT((ROW(D214)-10)/30)+1=5,"Scanner.cal","")&amp;
IF(INT((ROW(D214)-10)/30)+1=6,"Scanner.cal","")&amp;
IF(INT((ROW(D214)-10)/30)+1=7,"Scanner.cal","")&amp;
IF(INT((ROW(D214)-10)/30)+1=8,"Indiv" &amp; " Lens.cal","")</f>
        <v>☐ Scanner.cal</v>
      </c>
      <c r="O214" s="307" t="str">
        <f>IF(AND(ROW(L214)&gt;=9,ROW(L214)&lt;=38),"☐ RegentTarget.blu","")</f>
        <v/>
      </c>
      <c r="P214" s="215"/>
      <c r="Q214" s="215"/>
    </row>
    <row r="215" spans="1:17" ht="24" customHeight="1" x14ac:dyDescent="0.2">
      <c r="A215" s="434" t="s">
        <v>259</v>
      </c>
      <c r="B215" s="224" t="s">
        <v>259</v>
      </c>
      <c r="C215" s="307" t="s">
        <v>152</v>
      </c>
      <c r="D215" s="307" t="str">
        <f xml:space="preserve"> IF(N("If it is Cam, Do not Show XL")+AND(ROW(D215)&gt;=189,ROW(D215)&lt;=218),"","☐ XL Man")</f>
        <v/>
      </c>
      <c r="E215" s="437" t="str">
        <f>IF(N("Si OR dessous = vrai, pas de box")+OR(
N("1 OR Tron ou CELL")+OR(AND(ROW(K214)&gt;=39,ROW(K214)&lt;=68),AND(ROW(K214)&gt;=99,ROW(K214)&lt;=128)),
N("2 Pas de système scanopy and range opy")+AND(ROW(K214)&gt;=219,ROW(K214)&lt;=248,SCANOPY_N_System&lt;2),
N("3 Avec LC")&amp;IF(ISERROR(LEFT(J213,SEARCH("00",J213)-3)),"",LEFT(J213,SEARCH("00",J213)-3))="LC"),"","☐ ")
&amp;
IF(N("If it's OPY, put OMount Manual instead")+
AND(ROW(J214)&gt;=219,ROW(J214)&lt;=248),
IF(SCANOPY_N_System&gt;1,"OMount Man",""),
IF(N("If it is Cell or Tron, Do not Show Scanner related items")+OR(
AND(ROW(K214)&gt;=39,ROW(K214)&lt;=68),
AND(ROW(K214)&gt;=99,ROW(K214)&lt;=128)),
    "", IF(1=N("Si système a un scanner différent du Scanner populaire alors différent, sinon Scanner populaire")+AND(NOT(ISERROR(SEARCH("System",J213))),LEFT(J213,2)&lt;&gt;LEFT(PROD_MostPopularScanner,2)),
LEFT(J213,SEARCH("00",J213)-3),
PROD_MostPopularScanner) &amp; " Install Man"))</f>
        <v>☐ Scan. Install Man</v>
      </c>
      <c r="F215" s="380" t="s">
        <v>275</v>
      </c>
      <c r="G215" s="307" t="s">
        <v>274</v>
      </c>
      <c r="H215" s="439" t="s">
        <v>250</v>
      </c>
      <c r="I215" s="381"/>
      <c r="J215" s="307" t="str">
        <f ca="1">IF(AND(
INDIRECT(
IF(INT((ROW(D215)-10)/30)+1=1,"DENDRO","")&amp;
IF(INT((ROW(D215)-10)/30)+1=2,"CELL","")&amp;
IF(INT((ROW(D215)-10)/30)+1=3,"RHIZO","")&amp;
IF(INT((ROW(D215)-10)/30)+1=4,"RHIZOTRON","")&amp;
IF(INT((ROW(D215)-10)/30)+1=5,"FOLIA","")&amp;
IF(INT((ROW(D215)-10)/30)+1=6,"SEEDLE","")&amp;
IF(INT((ROW(D215)-10)/30)+1=7,"CAM","")&amp;
IF(INT((ROW(D215)-10)/30)+1=8,"SCANOPY","") &amp; "_ChkB_RemoteUpdate"),
INDIRECT(
IF(INT((ROW(D215)-10)/30)+1=1,"DENDRO","")&amp;
IF(INT((ROW(D215)-10)/30)+1=2,"CELL","")&amp;
IF(INT((ROW(D215)-10)/30)+1=3,"RHIZO","")&amp;
IF(INT((ROW(D215)-10)/30)+1=4,"RHIZOTRON","")&amp;
IF(INT((ROW(D215)-10)/30)+1=5,"FOLIA","")&amp;
IF(INT((ROW(D215)-10)/30)+1=6,"SEEDLE","")&amp;
IF(INT((ROW(D215)-10)/30)+1=7,"CAM","")&amp;
IF(INT((ROW(D215)-10)/30)+1=8,"SCANOPY","") &amp; "_ChkBox_UpgradeUpdate")),
"Clé de bois ou Download. Reprogrammation clé client",
"☐ " &amp; IF(AND(QUOTE_Split_SoftwareHardware,QUOTE_InternetDownload),"Man ds env. ""Documents"", Clé ds bulle collée sur env.","Reliée au Man"))</f>
        <v>☐ Reliée au Man</v>
      </c>
      <c r="K215" s="265"/>
      <c r="L215" s="223"/>
      <c r="M215" s="439"/>
      <c r="N215" s="380"/>
      <c r="O215" s="307"/>
      <c r="P215" s="215"/>
      <c r="Q215" s="215"/>
    </row>
    <row r="216" spans="1:17" ht="16.25" customHeight="1" x14ac:dyDescent="0.2">
      <c r="A216" s="421"/>
      <c r="B216" s="296"/>
      <c r="C216" s="904" t="str">
        <f>IF((CAM_N_UpgradeUpdate + CAM_N_Software ) = 2,"",LEFT(INDEX(CAM_SoftwareFullNames,CAM_IndexSoftware),FIND(" ",INDEX(CAM_SoftwareFullNames,CAM_IndexSoftware),FIND(" ",INDEX(CAM_SoftwareFullNames,CAM_IndexSoftware))+6)) &amp;
CAM_YearMostRecent )</f>
        <v/>
      </c>
      <c r="D216" s="904"/>
      <c r="E216" s="304"/>
      <c r="F216" s="304"/>
      <c r="G216" s="275"/>
      <c r="H216" s="261"/>
      <c r="I216" s="261"/>
      <c r="J216" s="275" t="str">
        <f>IF(CAM_N_System-1&gt;=((ROW(G216)-ROW($G$189))/4+1),IF(CAM_IndexScanner=1,"STD4800",IF(CAM_IndexScanner=2,"LA2400","LC4800P")) &amp; " System"&amp; IF(AND(CAM_ClientWithOrWithoutScanner=2,CAM_N_System&gt;1)," Sans Scanner"," Avec Scanner"),
IF(AND(CAM_N_Software&gt;CAM_N_System,CAM_N_Software-1&gt;=((ROW(G216)-ROW($G$189))/4+1)),IF(N_SystemTotal=0,"Software Only",IF(N_STDScanners+N_LAScanners+N_LCScanners=0,"Software Sans Scanner","Software Avec Scanner")),
IF(CAM_N_UpgradeUpdate-1&gt;=((ROW(G216)-ROW($G$189))/4+1)-(MAX(CAM_N_System,CAM_N_Software)-1),"Update","")))</f>
        <v/>
      </c>
      <c r="K216" s="261"/>
      <c r="L216" s="260"/>
      <c r="M216" s="260"/>
      <c r="N216" s="260"/>
      <c r="O216" s="215"/>
      <c r="P216" s="215"/>
      <c r="Q216" s="215"/>
    </row>
    <row r="217" spans="1:17" ht="24" customHeight="1" x14ac:dyDescent="0.2">
      <c r="A217" s="434" t="s">
        <v>258</v>
      </c>
      <c r="B217" s="287" t="s">
        <v>258</v>
      </c>
      <c r="C217" s="378" t="str">
        <f>IF(AND(QUOTE_Split_SoftwareHardware,QUOTE_InternetDownload),"",
"☐☐ Win" &amp;
IF(INT((ROW(D217)-10)/30)+1=1,"DEN","")&amp;
IF(INT((ROW(D217)-10)/30)+1=2,"CEL","")&amp;
IF(INT((ROW(D217)-10)/30)+1=3,"RHI","")&amp;
IF(INT((ROW(D217)-10)/30)+1=4,"RT","")&amp;
IF(INT((ROW(D217)-10)/30)+1=5,"FOL","")&amp;
IF(INT((ROW(D217)-10)/30)+1=6,"SEE","")&amp;
IF(INT((ROW(D217)-10)/30)+1=7,"CAM","")&amp;
IF(INT((ROW(D217)-10)/30)+1=8,"SCA","") &amp; ".exe")</f>
        <v>☐☐ WinCAM.exe</v>
      </c>
      <c r="D217" s="378" t="str">
        <f>IF(AND(QUOTE_Split_SoftwareHardware,QUOTE_InternetDownload),"",
 IF(N("If it is Cam, Do not Show XL")+AND(ROW(D217)&gt;=189,ROW(D217)&lt;=218),"","☐ XL" &amp;
IF(INT((ROW(D217)-10)/30)+1=1,"STEM","")&amp;
IF(INT((ROW(D217)-10)/30)+1=2,"Cell","")&amp;
IF(INT((ROW(D217)-10)/30)+1=3,"Rhizo","")&amp;
IF(INT((ROW(D217)-10)/30)+1=4,"RhizoT","")&amp;
IF(INT((ROW(D217)-10)/30)+1=5,"Folia","")&amp;
IF(INT((ROW(D217)-10)/30)+1=6,"Seedle","")&amp;
IF(INT((ROW(D217)-10)/30)+1=7,"Cam","")&amp;
IF(INT((ROW(D217)-10)/30)+1=8,"Scanopy","") &amp; ".xls"))</f>
        <v/>
      </c>
      <c r="E217" s="378" t="s">
        <v>299</v>
      </c>
      <c r="F217" s="379" t="s">
        <v>152</v>
      </c>
      <c r="G217" s="378" t="str">
        <f xml:space="preserve"> IF(N("If it is Cam, Do not Show XL")+AND(ROW(G217)&gt;=189,ROW(G217)&lt;=218),"","☐ XL Man")</f>
        <v/>
      </c>
      <c r="H217" s="379" t="s">
        <v>280</v>
      </c>
      <c r="I217" s="307" t="s">
        <v>274</v>
      </c>
      <c r="J217" s="379" t="str">
        <f>IF(N("Si OR dessous = vrai, pas de box")+OR(
N("1 OR Tron ou CELL")+OR(AND(ROW(E217)&gt;=39,ROW(E217)&lt;=68),AND(ROW(E217)&gt;=99,ROW(E217)&lt;=128)),
N("2 Pas de système scanopy and range opy")+AND(ROW(E217)&gt;=219,ROW(E217)&lt;=248,SCANOPY_N_System&lt;2),
N("3 Avec LC") + IF(AND(IF(PROD_MostPopularScanner="LC",1,0), NOT(AND(ROW(E217)&gt;=129,ROW(E217)&lt;=158)), NOT(AND(ROW(E217)&gt;=189,ROW(E217)&lt;=218))),1,0)
),"","☐ ")
&amp;
IF(N("If it's OPY, put OMount Manual instead")+
AND(ROW(D217)&gt;=219,ROW(D217)&lt;=248),
IF(SCANOPY_N_System&gt;1,
IF(SCANOPY_IndexScanner=1,"α" &amp; SCANOPY_CameraModel,SCANOPY_CameraModel_Mini) &amp; " Man",""),
IF(N("Empty si OR = true . . .If it is Cell or Tron, Do not Show Scanner related items + Hide if LC is favorite on unavailable product")+OR(
AND(ROW(E217)&gt;=39,ROW(E217)&lt;=68),
AND(ROW(E217)&gt;=99,ROW(E217)&lt;=128),
AND(IF(PROD_MostPopularScanner="LC",1,0), NOT(AND(ROW(E217)&gt;=129,ROW(E217)&lt;=158)), NOT(AND(ROW(E217)&gt;=189,ROW(E217)&lt;=218))),
0=1),
    "", IF(1=N("Si système a un scanner différent du Scanner populaire alors différent, sinon Scanner populaire")+AND(NOT(ISERROR(SEARCH("System",J216))),LEFT(J216,2)&lt;&gt;LEFT(PROD_MostPopularScanner,2)),
LEFT(J216,SEARCH("00",J216)-3),
PROD_MostPopularScanner) &amp; " Install Man"))</f>
        <v>☐ Scan. Install Man</v>
      </c>
      <c r="K217" s="378" t="str">
        <f>IF(N("If it is Cell or Tron or OPY, Do not Show Twain")+OR(AND(ROW(K217)&gt;=39,ROW(K217)&lt;=68),AND(ROW(K217)&gt;=99,ROW(K217)&lt;=128),AND(ROW(J217)&gt;=219,ROW(J217)&lt;=248)),"","☐ TWAIN")</f>
        <v>☐ TWAIN</v>
      </c>
      <c r="L217" s="379" t="str">
        <f>IF(AND(IF(PROD_MostPopularScanner="LC",1,0), NOT(AND(ROW(E217)&gt;=129,ROW(E217)&lt;=158)), NOT(AND(ROW(E217)&gt;=189,ROW(E217)&lt;=218))),"",
IF(N("Si OR dessous = vrai, pas de box")+OR(
N("1 OR Dendro+CELL, Tron+Folia,Cam")+OR(
AND(ROW(K217)&gt;=9,ROW(K217)&lt;=68),
AND(ROW(K217)&gt;=99,ROW(K217)&lt;=158),
AND(ROW(K217)&gt;=189,ROW(K217)&lt;=218)),
N("2 Pas de système scanopy and range opy")+AND(ROW(K217)&gt;=219,ROW(K217)&lt;=248,SCANOPY_N_System&lt;2),
N("3 Avec LC")&amp;IF(ISERROR(LEFT(J216,SEARCH("00",J216)-3)),"",LEFT(J216,SEARCH("00",J216)-3))="LC"),"","☐ ")
&amp;
IF(N("If it's OPY, put OMount Manual instead")+
AND(ROW(J217)&gt;=219,ROW(J217)&lt;=248),
IF(SCANOPY_N_System&gt;1,"OMount Man",""),
IF(N("If it is Dendro+CELL, Tron+Folia or Cam, Do not Show Scanner related items+No Video if LC")+OR(
AND(ROW(K217)&gt;=9,ROW(K217)&lt;=68),
AND(ROW(K217)&gt;=99,ROW(K217)&lt;=158),
AND(ROW(K217)&gt;=189,ROW(K217)&lt;=218),
IF(ISERROR(LEFT(J216,SEARCH("00",J216)-3)),"",LEFT(J216,SEARCH("00",J216)-3))="LC"),
    "", "Video " &amp; IF(1=N("Si système a un scanner différent du Scanner populaire alors différent, sinon Scanner populaire")+AND(NOT(ISERROR(SEARCH("System",J216))),LEFT(J216,2)&lt;&gt;LEFT(PROD_MostPopularScanner,2)),
LEFT(J216,SEARCH("00",J216)-3),
PROD_MostPopularScanner) &amp; " Install"))
)</f>
        <v/>
      </c>
      <c r="M217" s="378" t="str">
        <f>IF(N("If it is Dendro or Tron, Do not Show Color Analysis Video")+
OR(AND(ROW(L217)&gt;=9,ROW(L217)&lt;=38),
AND(ROW(L217)&gt;=99,ROW(L217)&lt;=128)), "","☐ Video ClrAna")</f>
        <v>☐ Video ClrAna</v>
      </c>
      <c r="N217" s="379" t="str">
        <f>IF(OR(INT((ROW(D217)-10)/30)+1=2,INT((ROW(D217)-10)/30)+1=4),"","☐ ")&amp;
IF(INT((ROW(D217)-10)/30)+1=1,"Scanner.cal","")&amp;
IF(INT((ROW(D217)-10)/30)+1=2,"","")&amp;
IF(INT((ROW(D217)-10)/30)+1=3,"Scanner.cal","")&amp;
IF(INT((ROW(D217)-10)/30)+1=4,"","")&amp;
IF(INT((ROW(D217)-10)/30)+1=5,"Scanner.cal","")&amp;
IF(INT((ROW(D217)-10)/30)+1=6,"Scanner.cal","")&amp;
IF(INT((ROW(D217)-10)/30)+1=7,"Scanner.cal","")&amp;
IF(INT((ROW(D217)-10)/30)+1=8,"Indiv" &amp; " Lens.cal","")</f>
        <v>☐ Scanner.cal</v>
      </c>
      <c r="O217" s="307" t="str">
        <f>IF(AND(ROW(L217)&gt;=9,ROW(L217)&lt;=38),"☐ RegentTarget.blu","")</f>
        <v/>
      </c>
      <c r="P217" s="215"/>
      <c r="Q217" s="215"/>
    </row>
    <row r="218" spans="1:17" ht="24" customHeight="1" x14ac:dyDescent="0.2">
      <c r="A218" s="434" t="s">
        <v>259</v>
      </c>
      <c r="B218" s="224" t="s">
        <v>259</v>
      </c>
      <c r="C218" s="307" t="s">
        <v>152</v>
      </c>
      <c r="D218" s="307" t="str">
        <f xml:space="preserve"> IF(N("If it is Cam, Do not Show XL")+AND(ROW(D218)&gt;=189,ROW(D218)&lt;=218),"","☐ XL Man")</f>
        <v/>
      </c>
      <c r="E218" s="437" t="str">
        <f>IF(N("Si OR dessous = vrai, pas de box")+OR(
N("1 OR Tron ou CELL")+OR(AND(ROW(K217)&gt;=39,ROW(K217)&lt;=68),AND(ROW(K217)&gt;=99,ROW(K217)&lt;=128)),
N("2 Pas de système scanopy and range opy")+AND(ROW(K217)&gt;=219,ROW(K217)&lt;=248,SCANOPY_N_System&lt;2),
N("3 Avec LC")&amp;IF(ISERROR(LEFT(J216,SEARCH("00",J216)-3)),"",LEFT(J216,SEARCH("00",J216)-3))="LC"),"","☐ ")
&amp;
IF(N("If it's OPY, put OMount Manual instead")+
AND(ROW(J217)&gt;=219,ROW(J217)&lt;=248),
IF(SCANOPY_N_System&gt;1,"OMount Man",""),
IF(N("If it is Cell or Tron, Do not Show Scanner related items")+OR(
AND(ROW(K217)&gt;=39,ROW(K217)&lt;=68),
AND(ROW(K217)&gt;=99,ROW(K217)&lt;=128)),
    "", IF(1=N("Si système a un scanner différent du Scanner populaire alors différent, sinon Scanner populaire")+AND(NOT(ISERROR(SEARCH("System",J216))),LEFT(J216,2)&lt;&gt;LEFT(PROD_MostPopularScanner,2)),
LEFT(J216,SEARCH("00",J216)-3),
PROD_MostPopularScanner) &amp; " Install Man"))</f>
        <v>☐ Scan. Install Man</v>
      </c>
      <c r="F218" s="380" t="s">
        <v>275</v>
      </c>
      <c r="G218" s="307" t="s">
        <v>274</v>
      </c>
      <c r="H218" s="439" t="s">
        <v>250</v>
      </c>
      <c r="I218" s="381"/>
      <c r="J218" s="307" t="str">
        <f ca="1">IF(AND(
INDIRECT(
IF(INT((ROW(D218)-10)/30)+1=1,"DENDRO","")&amp;
IF(INT((ROW(D218)-10)/30)+1=2,"CELL","")&amp;
IF(INT((ROW(D218)-10)/30)+1=3,"RHIZO","")&amp;
IF(INT((ROW(D218)-10)/30)+1=4,"RHIZOTRON","")&amp;
IF(INT((ROW(D218)-10)/30)+1=5,"FOLIA","")&amp;
IF(INT((ROW(D218)-10)/30)+1=6,"SEEDLE","")&amp;
IF(INT((ROW(D218)-10)/30)+1=7,"CAM","")&amp;
IF(INT((ROW(D218)-10)/30)+1=8,"SCANOPY","") &amp; "_ChkB_RemoteUpdate"),
INDIRECT(
IF(INT((ROW(D218)-10)/30)+1=1,"DENDRO","")&amp;
IF(INT((ROW(D218)-10)/30)+1=2,"CELL","")&amp;
IF(INT((ROW(D218)-10)/30)+1=3,"RHIZO","")&amp;
IF(INT((ROW(D218)-10)/30)+1=4,"RHIZOTRON","")&amp;
IF(INT((ROW(D218)-10)/30)+1=5,"FOLIA","")&amp;
IF(INT((ROW(D218)-10)/30)+1=6,"SEEDLE","")&amp;
IF(INT((ROW(D218)-10)/30)+1=7,"CAM","")&amp;
IF(INT((ROW(D218)-10)/30)+1=8,"SCANOPY","") &amp; "_ChkBox_UpgradeUpdate")),
"Clé de bois ou Download. Reprogrammation clé client",
"☐ " &amp; IF(AND(QUOTE_Split_SoftwareHardware,QUOTE_InternetDownload),"Man ds env. ""Documents"", Clé ds bulle collée sur env.","Reliée au Man"))</f>
        <v>☐ Reliée au Man</v>
      </c>
      <c r="K218" s="265"/>
      <c r="L218" s="223"/>
      <c r="M218" s="439"/>
      <c r="N218" s="380"/>
      <c r="O218" s="307"/>
      <c r="P218" s="215"/>
      <c r="Q218" s="215"/>
    </row>
    <row r="219" spans="1:17" ht="16.25" customHeight="1" x14ac:dyDescent="0.2">
      <c r="A219" s="422"/>
      <c r="B219" s="297"/>
      <c r="C219" s="902" t="str">
        <f>IF((SCANOPY_N_UpgradeUpdate + SCANOPY_N_Software ) = 2,"",LEFT(INDEX(SCANOPY_SoftwareFullNames,SCANOPY_IndexSoftware),FIND(" ",INDEX(SCANOPY_SoftwareFullNames,SCANOPY_IndexSoftware),FIND(" ",INDEX(SCANOPY_SoftwareFullNames,SCANOPY_IndexSoftware))+1)) &amp;
SCANOPY_YearMostRecent )</f>
        <v/>
      </c>
      <c r="D219" s="902"/>
      <c r="E219" s="305"/>
      <c r="F219" s="305"/>
      <c r="G219" s="276" t="str">
        <f>IF(SCANOPY_OptionXL*(SCANOPY_N_Software+SCANOPY_N_UpgradeUpdate-2)&gt;=((ROW(G219)-ROW($G$219))/4+1),"XLSCANOPY "&amp; SCANOPY_YearMostRecent,IF(SCANOPY_Option1*(SCANOPY_N_Software-1)&gt;=((ROW(G219)-ROW($G$219))/4+1),"XLSCANOPY Mini "&amp; SCANOPY_YearMostRecent,""))</f>
        <v/>
      </c>
      <c r="H219" s="263"/>
      <c r="I219" s="263"/>
      <c r="J219" s="276" t="str">
        <f>IF(SCANOPY_N_System-1&gt;=((ROW(G219)-ROW($G$219))/4+1),IF(Francais,"Système","")&amp;IF(SCANOPY_IndexScanner=1," 24 MP DSLR"," 24 MP Mini Point&amp;Shoot")&amp;IF(Francais,""," System"),
IF(AND(SCANOPY_N_Software&gt;SCANOPY_N_System,SCANOPY_N_Software-1&gt;=((ROW(G219)-ROW($G$219))/4+1)),IF(N_SystemTotal=0,"Software Only",IF(N_STDScanners+N_LAScanners+N_LCScanners=0,"Software Sans Scanner","Software Avec Scanner")),
IF(SCANOPY_N_UpgradeUpdate-1&gt;=((ROW(G219)-ROW($G$219))/4+1)-(MAX(SCANOPY_N_System,SCANOPY_N_Software)-1),"Update","")))</f>
        <v/>
      </c>
      <c r="K219" s="263"/>
      <c r="L219" s="262"/>
      <c r="M219" s="262"/>
      <c r="N219" s="262"/>
      <c r="O219" s="215"/>
      <c r="P219" s="215"/>
      <c r="Q219" s="215"/>
    </row>
    <row r="220" spans="1:17" ht="24" customHeight="1" x14ac:dyDescent="0.2">
      <c r="A220" s="458" t="s">
        <v>258</v>
      </c>
      <c r="B220" s="287" t="s">
        <v>258</v>
      </c>
      <c r="C220" s="378" t="str">
        <f>IF(AND(QUOTE_Split_SoftwareHardware,QUOTE_InternetDownload),"",
"☐☐ Win" &amp;
IF(INT((ROW(D220)-10)/30)+1=1,"DEN","")&amp;
IF(INT((ROW(D220)-10)/30)+1=2,"CEL","")&amp;
IF(INT((ROW(D220)-10)/30)+1=3,"RHI","")&amp;
IF(INT((ROW(D220)-10)/30)+1=4,"RT","")&amp;
IF(INT((ROW(D220)-10)/30)+1=5,"FOL","")&amp;
IF(INT((ROW(D220)-10)/30)+1=6,"SEE","")&amp;
IF(INT((ROW(D220)-10)/30)+1=7,"CAM","")&amp;
IF(INT((ROW(D220)-10)/30)+1=8,"SCA","") &amp; ".exe")</f>
        <v>☐☐ WinSCA.exe</v>
      </c>
      <c r="D220" s="378" t="str">
        <f>IF(AND(QUOTE_Split_SoftwareHardware,QUOTE_InternetDownload),"",
 IF(N("If it is Cam, Do not Show XL")+AND(ROW(D220)&gt;=189,ROW(D220)&lt;=218),"","☐ XL" &amp;
IF(INT((ROW(D220)-10)/30)+1=1,"STEM","")&amp;
IF(INT((ROW(D220)-10)/30)+1=2,"Cell","")&amp;
IF(INT((ROW(D220)-10)/30)+1=3,"Rhizo","")&amp;
IF(INT((ROW(D220)-10)/30)+1=4,"RhizoT","")&amp;
IF(INT((ROW(D220)-10)/30)+1=5,"Folia","")&amp;
IF(INT((ROW(D220)-10)/30)+1=6,"Seedle","")&amp;
IF(INT((ROW(D220)-10)/30)+1=7,"Cam","")&amp;
IF(INT((ROW(D220)-10)/30)+1=8,"Scanopy","") &amp; ".xls"))</f>
        <v>☐ XLScanopy.xls</v>
      </c>
      <c r="E220" s="378" t="s">
        <v>299</v>
      </c>
      <c r="F220" s="379" t="s">
        <v>152</v>
      </c>
      <c r="G220" s="378" t="str">
        <f xml:space="preserve"> IF(N("If it is Cam, Do not Show XL")+AND(ROW(G220)&gt;=189,ROW(G220)&lt;=218),"","☐ XL Man")</f>
        <v>☐ XL Man</v>
      </c>
      <c r="H220" s="379" t="s">
        <v>280</v>
      </c>
      <c r="I220" s="307" t="s">
        <v>274</v>
      </c>
      <c r="J220" s="379" t="str">
        <f>IF(N("Si OR dessous = vrai, pas de box")+OR(
N("1 OR Tron ou CELL")+OR(AND(ROW(E220)&gt;=39,ROW(E220)&lt;=68),AND(ROW(E220)&gt;=99,ROW(E220)&lt;=128)),
N("2 Pas de système scanopy and range opy")+AND(ROW(E220)&gt;=219,ROW(E220)&lt;=248,SCANOPY_N_System&lt;2),
N("3 Avec LC") + IF(AND(IF(PROD_MostPopularScanner="LC",1,0), NOT(AND(ROW(E220)&gt;=129,ROW(E220)&lt;=158)), NOT(AND(ROW(E220)&gt;=189,ROW(E220)&lt;=218))),1,0)
),"","☐ ")
&amp;
IF(N("If it's OPY, put OMount Manual instead")+
AND(ROW(D220)&gt;=219,ROW(D220)&lt;=248),
IF(SCANOPY_N_System&gt;1,
IF(SCANOPY_IndexScanner=1,"α" &amp; SCANOPY_CameraModel,SCANOPY_CameraModel_Mini) &amp; " Man",""),
IF(N("Empty si OR = true . . .If it is Cell or Tron, Do not Show Scanner related items + Hide if LC is favorite on unavailable product")+OR(
AND(ROW(E220)&gt;=39,ROW(E220)&lt;=68),
AND(ROW(E220)&gt;=99,ROW(E220)&lt;=128),
AND(IF(PROD_MostPopularScanner="LC",1,0), NOT(AND(ROW(E220)&gt;=129,ROW(E220)&lt;=158)), NOT(AND(ROW(E220)&gt;=189,ROW(E220)&lt;=218))),
0=1),
    "", IF(1=N("Si système a un scanner différent du Scanner populaire alors différent, sinon Scanner populaire")+AND(NOT(ISERROR(SEARCH("System",J219))),LEFT(J219,2)&lt;&gt;LEFT(PROD_MostPopularScanner,2)),
LEFT(J219,SEARCH("00",J219)-3),
PROD_MostPopularScanner) &amp; " Install Man"))</f>
        <v/>
      </c>
      <c r="K220" s="378" t="str">
        <f>IF(N("If it is Cell or Tron or OPY, Do not Show Twain")+OR(AND(ROW(K220)&gt;=39,ROW(K220)&lt;=68),AND(ROW(K220)&gt;=99,ROW(K220)&lt;=128),AND(ROW(J220)&gt;=219,ROW(J220)&lt;=248)),"","☐ TWAIN")</f>
        <v/>
      </c>
      <c r="L220" s="379" t="str">
        <f>IF(AND(IF(PROD_MostPopularScanner="LC",1,0), NOT(AND(ROW(E220)&gt;=129,ROW(E220)&lt;=158)), NOT(AND(ROW(E220)&gt;=189,ROW(E220)&lt;=218))),"",
IF(N("Si OR dessous = vrai, pas de box")+OR(
N("1 OR Dendro+CELL, Tron+Folia,Cam")+OR(
AND(ROW(K220)&gt;=9,ROW(K220)&lt;=68),
AND(ROW(K220)&gt;=99,ROW(K220)&lt;=158),
AND(ROW(K220)&gt;=189,ROW(K220)&lt;=218)),
N("2 Pas de système scanopy and range opy")+AND(ROW(K220)&gt;=219,ROW(K220)&lt;=248,SCANOPY_N_System&lt;2),
N("3 Avec LC")&amp;IF(ISERROR(LEFT(J219,SEARCH("00",J219)-3)),"",LEFT(J219,SEARCH("00",J219)-3))="LC"),"","☐ ")
&amp;
IF(N("If it's OPY, put OMount Manual instead")+
AND(ROW(J220)&gt;=219,ROW(J220)&lt;=248),
IF(SCANOPY_N_System&gt;1,"OMount Man",""),
IF(N("If it is Dendro+CELL, Tron+Folia or Cam, Do not Show Scanner related items+No Video if LC")+OR(
AND(ROW(K220)&gt;=9,ROW(K220)&lt;=68),
AND(ROW(K220)&gt;=99,ROW(K220)&lt;=158),
AND(ROW(K220)&gt;=189,ROW(K220)&lt;=218),
IF(ISERROR(LEFT(J219,SEARCH("00",J219)-3)),"",LEFT(J219,SEARCH("00",J219)-3))="LC"),
    "", "Video " &amp; IF(1=N("Si système a un scanner différent du Scanner populaire alors différent, sinon Scanner populaire")+AND(NOT(ISERROR(SEARCH("System",J219))),LEFT(J219,2)&lt;&gt;LEFT(PROD_MostPopularScanner,2)),
LEFT(J219,SEARCH("00",J219)-3),
PROD_MostPopularScanner) &amp; " Install"))
)</f>
        <v/>
      </c>
      <c r="M220" s="378" t="str">
        <f>IF(N("If it is Dendro or Tron, Do not Show Color Analysis Video")+
OR(AND(ROW(L220)&gt;=9,ROW(L220)&lt;=38),
AND(ROW(L220)&gt;=99,ROW(L220)&lt;=128)), "","☐ Video ClrAna")</f>
        <v>☐ Video ClrAna</v>
      </c>
      <c r="N220" s="379" t="str">
        <f>IF(OR(INT((ROW(D220)-10)/30)+1=2,INT((ROW(D220)-10)/30)+1=4),"","☐ ")&amp;
IF(INT((ROW(D220)-10)/30)+1=1,"Scanner.cal","")&amp;
IF(INT((ROW(D220)-10)/30)+1=2,"","")&amp;
IF(INT((ROW(D220)-10)/30)+1=3,"Scanner.cal","")&amp;
IF(INT((ROW(D220)-10)/30)+1=4,"","")&amp;
IF(INT((ROW(D220)-10)/30)+1=5,"Scanner.cal","")&amp;
IF(INT((ROW(D220)-10)/30)+1=6,"Scanner.cal","")&amp;
IF(INT((ROW(D220)-10)/30)+1=7,"Scanner.cal","")&amp;
IF(INT((ROW(D220)-10)/30)+1=8,"Indiv" &amp; " Lens.cal","")</f>
        <v>☐ Indiv Lens.cal</v>
      </c>
      <c r="O220" s="307" t="str">
        <f>IF(AND(ROW(L220)&gt;=9,ROW(L220)&lt;=38),"☐ RegentTarget.blu","")</f>
        <v/>
      </c>
      <c r="P220" s="215"/>
      <c r="Q220" s="215"/>
    </row>
    <row r="221" spans="1:17" ht="24" customHeight="1" x14ac:dyDescent="0.2">
      <c r="A221" s="458" t="s">
        <v>259</v>
      </c>
      <c r="B221" s="224" t="s">
        <v>259</v>
      </c>
      <c r="C221" s="307" t="s">
        <v>152</v>
      </c>
      <c r="D221" s="307" t="str">
        <f xml:space="preserve"> IF(N("If it is Cam, Do not Show XL")+AND(ROW(D221)&gt;=189,ROW(D221)&lt;=218),"","☐ XL Man")</f>
        <v>☐ XL Man</v>
      </c>
      <c r="E221" s="437" t="str">
        <f>IF(N("Si OR dessous = vrai, pas de box")+OR(
N("1 OR Tron ou CELL")+OR(AND(ROW(K220)&gt;=39,ROW(K220)&lt;=68),AND(ROW(K220)&gt;=99,ROW(K220)&lt;=128)),
N("2 Pas de système scanopy and range opy")+AND(ROW(K220)&gt;=219,ROW(K220)&lt;=248,SCANOPY_N_System&lt;2),
N("3 Avec LC")&amp;IF(ISERROR(LEFT(J219,SEARCH("00",J219)-3)),"",LEFT(J219,SEARCH("00",J219)-3))="LC"),"","☐ ")
&amp;
IF(N("If it's OPY, put OMount Manual instead")+
AND(ROW(J220)&gt;=219,ROW(J220)&lt;=248),
IF(SCANOPY_N_System&gt;1,"OMount Man",""),
IF(N("If it is Cell or Tron, Do not Show Scanner related items")+OR(
AND(ROW(K220)&gt;=39,ROW(K220)&lt;=68),
AND(ROW(K220)&gt;=99,ROW(K220)&lt;=128)),
    "", IF(1=N("Si système a un scanner différent du Scanner populaire alors différent, sinon Scanner populaire")+AND(NOT(ISERROR(SEARCH("System",J219))),LEFT(J219,2)&lt;&gt;LEFT(PROD_MostPopularScanner,2)),
LEFT(J219,SEARCH("00",J219)-3),
PROD_MostPopularScanner) &amp; " Install Man"))</f>
        <v/>
      </c>
      <c r="F221" s="380" t="s">
        <v>275</v>
      </c>
      <c r="G221" s="307" t="s">
        <v>274</v>
      </c>
      <c r="H221" s="439" t="s">
        <v>250</v>
      </c>
      <c r="I221" s="381"/>
      <c r="J221" s="307" t="str">
        <f ca="1">IF(AND(
INDIRECT(
IF(INT((ROW(D221)-10)/30)+1=1,"DENDRO","")&amp;
IF(INT((ROW(D221)-10)/30)+1=2,"CELL","")&amp;
IF(INT((ROW(D221)-10)/30)+1=3,"RHIZO","")&amp;
IF(INT((ROW(D221)-10)/30)+1=4,"RHIZOTRON","")&amp;
IF(INT((ROW(D221)-10)/30)+1=5,"FOLIA","")&amp;
IF(INT((ROW(D221)-10)/30)+1=6,"SEEDLE","")&amp;
IF(INT((ROW(D221)-10)/30)+1=7,"CAM","")&amp;
IF(INT((ROW(D221)-10)/30)+1=8,"SCANOPY","") &amp; "_ChkB_RemoteUpdate"),
INDIRECT(
IF(INT((ROW(D221)-10)/30)+1=1,"DENDRO","")&amp;
IF(INT((ROW(D221)-10)/30)+1=2,"CELL","")&amp;
IF(INT((ROW(D221)-10)/30)+1=3,"RHIZO","")&amp;
IF(INT((ROW(D221)-10)/30)+1=4,"RHIZOTRON","")&amp;
IF(INT((ROW(D221)-10)/30)+1=5,"FOLIA","")&amp;
IF(INT((ROW(D221)-10)/30)+1=6,"SEEDLE","")&amp;
IF(INT((ROW(D221)-10)/30)+1=7,"CAM","")&amp;
IF(INT((ROW(D221)-10)/30)+1=8,"SCANOPY","") &amp; "_ChkBox_UpgradeUpdate")),
"Clé de bois ou Download. Reprogrammation clé client",
"☐ " &amp; IF(AND(QUOTE_Split_SoftwareHardware,QUOTE_InternetDownload),"Man ds env. ""Documents"", Clé ds bulle collée sur env.","Reliée au Man"))</f>
        <v>☐ Reliée au Man</v>
      </c>
      <c r="K221" s="265"/>
      <c r="L221" s="223"/>
      <c r="M221" s="439"/>
      <c r="N221" s="380"/>
      <c r="O221" s="307"/>
      <c r="P221" s="215"/>
      <c r="Q221" s="215"/>
    </row>
    <row r="222" spans="1:17" ht="16.25" customHeight="1" x14ac:dyDescent="0.2">
      <c r="A222" s="422"/>
      <c r="B222" s="297"/>
      <c r="C222" s="902" t="str">
        <f>IF((SCANOPY_N_UpgradeUpdate + SCANOPY_N_Software ) = 2,"",LEFT(INDEX(SCANOPY_SoftwareFullNames,SCANOPY_IndexSoftware),FIND(" ",INDEX(SCANOPY_SoftwareFullNames,SCANOPY_IndexSoftware),FIND(" ",INDEX(SCANOPY_SoftwareFullNames,SCANOPY_IndexSoftware))+1)) &amp;
SCANOPY_YearMostRecent )</f>
        <v/>
      </c>
      <c r="D222" s="902"/>
      <c r="E222" s="305"/>
      <c r="F222" s="305"/>
      <c r="G222" s="276" t="str">
        <f>IF(SCANOPY_OptionXL*(SCANOPY_N_Software+SCANOPY_N_UpgradeUpdate-2)&gt;=((ROW(G222)-ROW($G$219))/4+1),"XLSCANOPY "&amp; SCANOPY_YearMostRecent,IF(SCANOPY_Option1*(SCANOPY_N_Software-1)&gt;=((ROW(G222)-ROW($G$219))/4+1),"XLSCANOPY Mini "&amp; SCANOPY_YearMostRecent,""))</f>
        <v/>
      </c>
      <c r="H222" s="263"/>
      <c r="I222" s="263"/>
      <c r="J222" s="276" t="str">
        <f>IF(SCANOPY_N_System-1&gt;=((ROW(G222)-ROW($G$219))/4+1),IF(Francais,"Système","")&amp;IF(SCANOPY_IndexScanner=1," 24 MP DSLR"," 24 MP Mini Point&amp;Shoot")&amp;IF(Francais,""," System"),
IF(AND(SCANOPY_N_Software&gt;SCANOPY_N_System,SCANOPY_N_Software-1&gt;=((ROW(G222)-ROW($G$219))/4+1)),IF(N_SystemTotal=0,"Software Only",IF(N_STDScanners+N_LAScanners+N_LCScanners=0,"Software Sans Scanner","Software Avec Scanner")),
IF(SCANOPY_N_UpgradeUpdate-1&gt;=((ROW(G222)-ROW($G$219))/4+1)-(MAX(SCANOPY_N_System,SCANOPY_N_Software)-1),"Update","")))</f>
        <v/>
      </c>
      <c r="K222" s="263"/>
      <c r="L222" s="262"/>
      <c r="M222" s="262"/>
      <c r="N222" s="262"/>
      <c r="O222" s="215"/>
      <c r="P222" s="215"/>
      <c r="Q222" s="215"/>
    </row>
    <row r="223" spans="1:17" ht="24" customHeight="1" x14ac:dyDescent="0.2">
      <c r="A223" s="458" t="s">
        <v>258</v>
      </c>
      <c r="B223" s="287" t="s">
        <v>258</v>
      </c>
      <c r="C223" s="378" t="str">
        <f>IF(AND(QUOTE_Split_SoftwareHardware,QUOTE_InternetDownload),"",
"☐☐ Win" &amp;
IF(INT((ROW(D223)-10)/30)+1=1,"DEN","")&amp;
IF(INT((ROW(D223)-10)/30)+1=2,"CEL","")&amp;
IF(INT((ROW(D223)-10)/30)+1=3,"RHI","")&amp;
IF(INT((ROW(D223)-10)/30)+1=4,"RT","")&amp;
IF(INT((ROW(D223)-10)/30)+1=5,"FOL","")&amp;
IF(INT((ROW(D223)-10)/30)+1=6,"SEE","")&amp;
IF(INT((ROW(D223)-10)/30)+1=7,"CAM","")&amp;
IF(INT((ROW(D223)-10)/30)+1=8,"SCA","") &amp; ".exe")</f>
        <v>☐☐ WinSCA.exe</v>
      </c>
      <c r="D223" s="378" t="str">
        <f>IF(AND(QUOTE_Split_SoftwareHardware,QUOTE_InternetDownload),"",
 IF(N("If it is Cam, Do not Show XL")+AND(ROW(D223)&gt;=189,ROW(D223)&lt;=218),"","☐ XL" &amp;
IF(INT((ROW(D223)-10)/30)+1=1,"STEM","")&amp;
IF(INT((ROW(D223)-10)/30)+1=2,"Cell","")&amp;
IF(INT((ROW(D223)-10)/30)+1=3,"Rhizo","")&amp;
IF(INT((ROW(D223)-10)/30)+1=4,"RhizoT","")&amp;
IF(INT((ROW(D223)-10)/30)+1=5,"Folia","")&amp;
IF(INT((ROW(D223)-10)/30)+1=6,"Seedle","")&amp;
IF(INT((ROW(D223)-10)/30)+1=7,"Cam","")&amp;
IF(INT((ROW(D223)-10)/30)+1=8,"Scanopy","") &amp; ".xls"))</f>
        <v>☐ XLScanopy.xls</v>
      </c>
      <c r="E223" s="378" t="s">
        <v>299</v>
      </c>
      <c r="F223" s="379" t="s">
        <v>152</v>
      </c>
      <c r="G223" s="378" t="str">
        <f xml:space="preserve"> IF(N("If it is Cam, Do not Show XL")+AND(ROW(G223)&gt;=189,ROW(G223)&lt;=218),"","☐ XL Man")</f>
        <v>☐ XL Man</v>
      </c>
      <c r="H223" s="379" t="s">
        <v>280</v>
      </c>
      <c r="I223" s="307" t="s">
        <v>274</v>
      </c>
      <c r="J223" s="379" t="str">
        <f>IF(N("Si OR dessous = vrai, pas de box")+OR(
N("1 OR Tron ou CELL")+OR(AND(ROW(E223)&gt;=39,ROW(E223)&lt;=68),AND(ROW(E223)&gt;=99,ROW(E223)&lt;=128)),
N("2 Pas de système scanopy and range opy")+AND(ROW(E223)&gt;=219,ROW(E223)&lt;=248,SCANOPY_N_System&lt;2),
N("3 Avec LC") + IF(AND(IF(PROD_MostPopularScanner="LC",1,0), NOT(AND(ROW(E223)&gt;=129,ROW(E223)&lt;=158)), NOT(AND(ROW(E223)&gt;=189,ROW(E223)&lt;=218))),1,0)
),"","☐ ")
&amp;
IF(N("If it's OPY, put OMount Manual instead")+
AND(ROW(D223)&gt;=219,ROW(D223)&lt;=248),
IF(SCANOPY_N_System&gt;1,
IF(SCANOPY_IndexScanner=1,"α" &amp; SCANOPY_CameraModel,SCANOPY_CameraModel_Mini) &amp; " Man",""),
IF(N("Empty si OR = true . . .If it is Cell or Tron, Do not Show Scanner related items + Hide if LC is favorite on unavailable product")+OR(
AND(ROW(E223)&gt;=39,ROW(E223)&lt;=68),
AND(ROW(E223)&gt;=99,ROW(E223)&lt;=128),
AND(IF(PROD_MostPopularScanner="LC",1,0), NOT(AND(ROW(E223)&gt;=129,ROW(E223)&lt;=158)), NOT(AND(ROW(E223)&gt;=189,ROW(E223)&lt;=218))),
0=1),
    "", IF(1=N("Si système a un scanner différent du Scanner populaire alors différent, sinon Scanner populaire")+AND(NOT(ISERROR(SEARCH("System",J222))),LEFT(J222,2)&lt;&gt;LEFT(PROD_MostPopularScanner,2)),
LEFT(J222,SEARCH("00",J222)-3),
PROD_MostPopularScanner) &amp; " Install Man"))</f>
        <v/>
      </c>
      <c r="K223" s="378" t="str">
        <f>IF(N("If it is Cell or Tron or OPY, Do not Show Twain")+OR(AND(ROW(K223)&gt;=39,ROW(K223)&lt;=68),AND(ROW(K223)&gt;=99,ROW(K223)&lt;=128),AND(ROW(J223)&gt;=219,ROW(J223)&lt;=248)),"","☐ TWAIN")</f>
        <v/>
      </c>
      <c r="L223" s="379" t="str">
        <f>IF(AND(IF(PROD_MostPopularScanner="LC",1,0), NOT(AND(ROW(E223)&gt;=129,ROW(E223)&lt;=158)), NOT(AND(ROW(E223)&gt;=189,ROW(E223)&lt;=218))),"",
IF(N("Si OR dessous = vrai, pas de box")+OR(
N("1 OR Dendro+CELL, Tron+Folia,Cam")+OR(
AND(ROW(K223)&gt;=9,ROW(K223)&lt;=68),
AND(ROW(K223)&gt;=99,ROW(K223)&lt;=158),
AND(ROW(K223)&gt;=189,ROW(K223)&lt;=218)),
N("2 Pas de système scanopy and range opy")+AND(ROW(K223)&gt;=219,ROW(K223)&lt;=248,SCANOPY_N_System&lt;2),
N("3 Avec LC")&amp;IF(ISERROR(LEFT(J222,SEARCH("00",J222)-3)),"",LEFT(J222,SEARCH("00",J222)-3))="LC"),"","☐ ")
&amp;
IF(N("If it's OPY, put OMount Manual instead")+
AND(ROW(J223)&gt;=219,ROW(J223)&lt;=248),
IF(SCANOPY_N_System&gt;1,"OMount Man",""),
IF(N("If it is Dendro+CELL, Tron+Folia or Cam, Do not Show Scanner related items+No Video if LC")+OR(
AND(ROW(K223)&gt;=9,ROW(K223)&lt;=68),
AND(ROW(K223)&gt;=99,ROW(K223)&lt;=158),
AND(ROW(K223)&gt;=189,ROW(K223)&lt;=218),
IF(ISERROR(LEFT(J222,SEARCH("00",J222)-3)),"",LEFT(J222,SEARCH("00",J222)-3))="LC"),
    "", "Video " &amp; IF(1=N("Si système a un scanner différent du Scanner populaire alors différent, sinon Scanner populaire")+AND(NOT(ISERROR(SEARCH("System",J222))),LEFT(J222,2)&lt;&gt;LEFT(PROD_MostPopularScanner,2)),
LEFT(J222,SEARCH("00",J222)-3),
PROD_MostPopularScanner) &amp; " Install"))
)</f>
        <v/>
      </c>
      <c r="M223" s="378" t="str">
        <f>IF(N("If it is Dendro or Tron, Do not Show Color Analysis Video")+
OR(AND(ROW(L223)&gt;=9,ROW(L223)&lt;=38),
AND(ROW(L223)&gt;=99,ROW(L223)&lt;=128)), "","☐ Video ClrAna")</f>
        <v>☐ Video ClrAna</v>
      </c>
      <c r="N223" s="379" t="str">
        <f>IF(OR(INT((ROW(D223)-10)/30)+1=2,INT((ROW(D223)-10)/30)+1=4),"","☐ ")&amp;
IF(INT((ROW(D223)-10)/30)+1=1,"Scanner.cal","")&amp;
IF(INT((ROW(D223)-10)/30)+1=2,"","")&amp;
IF(INT((ROW(D223)-10)/30)+1=3,"Scanner.cal","")&amp;
IF(INT((ROW(D223)-10)/30)+1=4,"","")&amp;
IF(INT((ROW(D223)-10)/30)+1=5,"Scanner.cal","")&amp;
IF(INT((ROW(D223)-10)/30)+1=6,"Scanner.cal","")&amp;
IF(INT((ROW(D223)-10)/30)+1=7,"Scanner.cal","")&amp;
IF(INT((ROW(D223)-10)/30)+1=8,"Indiv" &amp; " Lens.cal","")</f>
        <v>☐ Indiv Lens.cal</v>
      </c>
      <c r="O223" s="307" t="str">
        <f>IF(AND(ROW(L223)&gt;=9,ROW(L223)&lt;=38),"☐ RegentTarget.blu","")</f>
        <v/>
      </c>
      <c r="P223" s="215"/>
      <c r="Q223" s="215"/>
    </row>
    <row r="224" spans="1:17" ht="24" customHeight="1" x14ac:dyDescent="0.2">
      <c r="A224" s="458" t="s">
        <v>259</v>
      </c>
      <c r="B224" s="224" t="s">
        <v>259</v>
      </c>
      <c r="C224" s="307" t="s">
        <v>152</v>
      </c>
      <c r="D224" s="307" t="str">
        <f xml:space="preserve"> IF(N("If it is Cam, Do not Show XL")+AND(ROW(D224)&gt;=189,ROW(D224)&lt;=218),"","☐ XL Man")</f>
        <v>☐ XL Man</v>
      </c>
      <c r="E224" s="437" t="str">
        <f>IF(N("Si OR dessous = vrai, pas de box")+OR(
N("1 OR Tron ou CELL")+OR(AND(ROW(K223)&gt;=39,ROW(K223)&lt;=68),AND(ROW(K223)&gt;=99,ROW(K223)&lt;=128)),
N("2 Pas de système scanopy and range opy")+AND(ROW(K223)&gt;=219,ROW(K223)&lt;=248,SCANOPY_N_System&lt;2),
N("3 Avec LC")&amp;IF(ISERROR(LEFT(J222,SEARCH("00",J222)-3)),"",LEFT(J222,SEARCH("00",J222)-3))="LC"),"","☐ ")
&amp;
IF(N("If it's OPY, put OMount Manual instead")+
AND(ROW(J223)&gt;=219,ROW(J223)&lt;=248),
IF(SCANOPY_N_System&gt;1,"OMount Man",""),
IF(N("If it is Cell or Tron, Do not Show Scanner related items")+OR(
AND(ROW(K223)&gt;=39,ROW(K223)&lt;=68),
AND(ROW(K223)&gt;=99,ROW(K223)&lt;=128)),
    "", IF(1=N("Si système a un scanner différent du Scanner populaire alors différent, sinon Scanner populaire")+AND(NOT(ISERROR(SEARCH("System",J222))),LEFT(J222,2)&lt;&gt;LEFT(PROD_MostPopularScanner,2)),
LEFT(J222,SEARCH("00",J222)-3),
PROD_MostPopularScanner) &amp; " Install Man"))</f>
        <v/>
      </c>
      <c r="F224" s="380" t="s">
        <v>275</v>
      </c>
      <c r="G224" s="307" t="s">
        <v>274</v>
      </c>
      <c r="H224" s="439" t="s">
        <v>250</v>
      </c>
      <c r="I224" s="381"/>
      <c r="J224" s="307" t="str">
        <f ca="1">IF(AND(
INDIRECT(
IF(INT((ROW(D224)-10)/30)+1=1,"DENDRO","")&amp;
IF(INT((ROW(D224)-10)/30)+1=2,"CELL","")&amp;
IF(INT((ROW(D224)-10)/30)+1=3,"RHIZO","")&amp;
IF(INT((ROW(D224)-10)/30)+1=4,"RHIZOTRON","")&amp;
IF(INT((ROW(D224)-10)/30)+1=5,"FOLIA","")&amp;
IF(INT((ROW(D224)-10)/30)+1=6,"SEEDLE","")&amp;
IF(INT((ROW(D224)-10)/30)+1=7,"CAM","")&amp;
IF(INT((ROW(D224)-10)/30)+1=8,"SCANOPY","") &amp; "_ChkB_RemoteUpdate"),
INDIRECT(
IF(INT((ROW(D224)-10)/30)+1=1,"DENDRO","")&amp;
IF(INT((ROW(D224)-10)/30)+1=2,"CELL","")&amp;
IF(INT((ROW(D224)-10)/30)+1=3,"RHIZO","")&amp;
IF(INT((ROW(D224)-10)/30)+1=4,"RHIZOTRON","")&amp;
IF(INT((ROW(D224)-10)/30)+1=5,"FOLIA","")&amp;
IF(INT((ROW(D224)-10)/30)+1=6,"SEEDLE","")&amp;
IF(INT((ROW(D224)-10)/30)+1=7,"CAM","")&amp;
IF(INT((ROW(D224)-10)/30)+1=8,"SCANOPY","") &amp; "_ChkBox_UpgradeUpdate")),
"Clé de bois ou Download. Reprogrammation clé client",
"☐ " &amp; IF(AND(QUOTE_Split_SoftwareHardware,QUOTE_InternetDownload),"Man ds env. ""Documents"", Clé ds bulle collée sur env.","Reliée au Man"))</f>
        <v>☐ Reliée au Man</v>
      </c>
      <c r="K224" s="265"/>
      <c r="L224" s="223"/>
      <c r="M224" s="439"/>
      <c r="N224" s="380"/>
      <c r="O224" s="307"/>
      <c r="P224" s="215"/>
      <c r="Q224" s="215"/>
    </row>
    <row r="225" spans="1:17" ht="16.25" customHeight="1" x14ac:dyDescent="0.2">
      <c r="A225" s="422"/>
      <c r="B225" s="297"/>
      <c r="C225" s="902" t="str">
        <f>IF((SCANOPY_N_UpgradeUpdate + SCANOPY_N_Software ) = 2,"",LEFT(INDEX(SCANOPY_SoftwareFullNames,SCANOPY_IndexSoftware),FIND(" ",INDEX(SCANOPY_SoftwareFullNames,SCANOPY_IndexSoftware),FIND(" ",INDEX(SCANOPY_SoftwareFullNames,SCANOPY_IndexSoftware))+1)) &amp;
SCANOPY_YearMostRecent )</f>
        <v/>
      </c>
      <c r="D225" s="902"/>
      <c r="E225" s="305"/>
      <c r="F225" s="305"/>
      <c r="G225" s="276" t="str">
        <f>IF(SCANOPY_OptionXL*(SCANOPY_N_Software+SCANOPY_N_UpgradeUpdate-2)&gt;=((ROW(G225)-ROW($G$219))/4+1),"XLSCANOPY "&amp; SCANOPY_YearMostRecent,IF(SCANOPY_Option1*(SCANOPY_N_Software-1)&gt;=((ROW(G225)-ROW($G$219))/4+1),"XLSCANOPY Mini "&amp; SCANOPY_YearMostRecent,""))</f>
        <v/>
      </c>
      <c r="H225" s="263"/>
      <c r="I225" s="263"/>
      <c r="J225" s="276" t="str">
        <f>IF(SCANOPY_N_System-1&gt;=((ROW(G225)-ROW($G$219))/4+1),IF(Francais,"Système","")&amp;IF(SCANOPY_IndexScanner=1," 24 MP DSLR"," 24 MP Mini Point&amp;Shoot")&amp;IF(Francais,""," System"),
IF(AND(SCANOPY_N_Software&gt;SCANOPY_N_System,SCANOPY_N_Software-1&gt;=((ROW(G225)-ROW($G$219))/4+1)),IF(N_SystemTotal=0,"Software Only",IF(N_STDScanners+N_LAScanners+N_LCScanners=0,"Software Sans Scanner","Software Avec Scanner")),
IF(SCANOPY_N_UpgradeUpdate-1&gt;=((ROW(G225)-ROW($G$219))/4+1)-(MAX(SCANOPY_N_System,SCANOPY_N_Software)-1),"Update","")))</f>
        <v/>
      </c>
      <c r="K225" s="263"/>
      <c r="L225" s="262"/>
      <c r="M225" s="262"/>
      <c r="N225" s="262"/>
      <c r="O225" s="215"/>
      <c r="P225" s="215"/>
      <c r="Q225" s="215"/>
    </row>
    <row r="226" spans="1:17" ht="24" customHeight="1" x14ac:dyDescent="0.2">
      <c r="A226" s="458" t="s">
        <v>258</v>
      </c>
      <c r="B226" s="287" t="s">
        <v>258</v>
      </c>
      <c r="C226" s="378" t="str">
        <f>IF(AND(QUOTE_Split_SoftwareHardware,QUOTE_InternetDownload),"",
"☐☐ Win" &amp;
IF(INT((ROW(D226)-10)/30)+1=1,"DEN","")&amp;
IF(INT((ROW(D226)-10)/30)+1=2,"CEL","")&amp;
IF(INT((ROW(D226)-10)/30)+1=3,"RHI","")&amp;
IF(INT((ROW(D226)-10)/30)+1=4,"RT","")&amp;
IF(INT((ROW(D226)-10)/30)+1=5,"FOL","")&amp;
IF(INT((ROW(D226)-10)/30)+1=6,"SEE","")&amp;
IF(INT((ROW(D226)-10)/30)+1=7,"CAM","")&amp;
IF(INT((ROW(D226)-10)/30)+1=8,"SCA","") &amp; ".exe")</f>
        <v>☐☐ WinSCA.exe</v>
      </c>
      <c r="D226" s="378" t="str">
        <f>IF(AND(QUOTE_Split_SoftwareHardware,QUOTE_InternetDownload),"",
 IF(N("If it is Cam, Do not Show XL")+AND(ROW(D226)&gt;=189,ROW(D226)&lt;=218),"","☐ XL" &amp;
IF(INT((ROW(D226)-10)/30)+1=1,"STEM","")&amp;
IF(INT((ROW(D226)-10)/30)+1=2,"Cell","")&amp;
IF(INT((ROW(D226)-10)/30)+1=3,"Rhizo","")&amp;
IF(INT((ROW(D226)-10)/30)+1=4,"RhizoT","")&amp;
IF(INT((ROW(D226)-10)/30)+1=5,"Folia","")&amp;
IF(INT((ROW(D226)-10)/30)+1=6,"Seedle","")&amp;
IF(INT((ROW(D226)-10)/30)+1=7,"Cam","")&amp;
IF(INT((ROW(D226)-10)/30)+1=8,"Scanopy","") &amp; ".xls"))</f>
        <v>☐ XLScanopy.xls</v>
      </c>
      <c r="E226" s="378" t="s">
        <v>299</v>
      </c>
      <c r="F226" s="379" t="s">
        <v>152</v>
      </c>
      <c r="G226" s="378" t="str">
        <f xml:space="preserve"> IF(N("If it is Cam, Do not Show XL")+AND(ROW(G226)&gt;=189,ROW(G226)&lt;=218),"","☐ XL Man")</f>
        <v>☐ XL Man</v>
      </c>
      <c r="H226" s="379" t="s">
        <v>280</v>
      </c>
      <c r="I226" s="307" t="s">
        <v>274</v>
      </c>
      <c r="J226" s="379" t="str">
        <f>IF(N("Si OR dessous = vrai, pas de box")+OR(
N("1 OR Tron ou CELL")+OR(AND(ROW(E226)&gt;=39,ROW(E226)&lt;=68),AND(ROW(E226)&gt;=99,ROW(E226)&lt;=128)),
N("2 Pas de système scanopy and range opy")+AND(ROW(E226)&gt;=219,ROW(E226)&lt;=248,SCANOPY_N_System&lt;2),
N("3 Avec LC") + IF(AND(IF(PROD_MostPopularScanner="LC",1,0), NOT(AND(ROW(E226)&gt;=129,ROW(E226)&lt;=158)), NOT(AND(ROW(E226)&gt;=189,ROW(E226)&lt;=218))),1,0)
),"","☐ ")
&amp;
IF(N("If it's OPY, put OMount Manual instead")+
AND(ROW(D226)&gt;=219,ROW(D226)&lt;=248),
IF(SCANOPY_N_System&gt;1,
IF(SCANOPY_IndexScanner=1,"α" &amp; SCANOPY_CameraModel,SCANOPY_CameraModel_Mini) &amp; " Man",""),
IF(N("Empty si OR = true . . .If it is Cell or Tron, Do not Show Scanner related items + Hide if LC is favorite on unavailable product")+OR(
AND(ROW(E226)&gt;=39,ROW(E226)&lt;=68),
AND(ROW(E226)&gt;=99,ROW(E226)&lt;=128),
AND(IF(PROD_MostPopularScanner="LC",1,0), NOT(AND(ROW(E226)&gt;=129,ROW(E226)&lt;=158)), NOT(AND(ROW(E226)&gt;=189,ROW(E226)&lt;=218))),
0=1),
    "", IF(1=N("Si système a un scanner différent du Scanner populaire alors différent, sinon Scanner populaire")+AND(NOT(ISERROR(SEARCH("System",J225))),LEFT(J225,2)&lt;&gt;LEFT(PROD_MostPopularScanner,2)),
LEFT(J225,SEARCH("00",J225)-3),
PROD_MostPopularScanner) &amp; " Install Man"))</f>
        <v/>
      </c>
      <c r="K226" s="378" t="str">
        <f>IF(N("If it is Cell or Tron or OPY, Do not Show Twain")+OR(AND(ROW(K226)&gt;=39,ROW(K226)&lt;=68),AND(ROW(K226)&gt;=99,ROW(K226)&lt;=128),AND(ROW(J226)&gt;=219,ROW(J226)&lt;=248)),"","☐ TWAIN")</f>
        <v/>
      </c>
      <c r="L226" s="379" t="str">
        <f>IF(AND(IF(PROD_MostPopularScanner="LC",1,0), NOT(AND(ROW(E226)&gt;=129,ROW(E226)&lt;=158)), NOT(AND(ROW(E226)&gt;=189,ROW(E226)&lt;=218))),"",
IF(N("Si OR dessous = vrai, pas de box")+OR(
N("1 OR Dendro+CELL, Tron+Folia,Cam")+OR(
AND(ROW(K226)&gt;=9,ROW(K226)&lt;=68),
AND(ROW(K226)&gt;=99,ROW(K226)&lt;=158),
AND(ROW(K226)&gt;=189,ROW(K226)&lt;=218)),
N("2 Pas de système scanopy and range opy")+AND(ROW(K226)&gt;=219,ROW(K226)&lt;=248,SCANOPY_N_System&lt;2),
N("3 Avec LC")&amp;IF(ISERROR(LEFT(J225,SEARCH("00",J225)-3)),"",LEFT(J225,SEARCH("00",J225)-3))="LC"),"","☐ ")
&amp;
IF(N("If it's OPY, put OMount Manual instead")+
AND(ROW(J226)&gt;=219,ROW(J226)&lt;=248),
IF(SCANOPY_N_System&gt;1,"OMount Man",""),
IF(N("If it is Dendro+CELL, Tron+Folia or Cam, Do not Show Scanner related items+No Video if LC")+OR(
AND(ROW(K226)&gt;=9,ROW(K226)&lt;=68),
AND(ROW(K226)&gt;=99,ROW(K226)&lt;=158),
AND(ROW(K226)&gt;=189,ROW(K226)&lt;=218),
IF(ISERROR(LEFT(J225,SEARCH("00",J225)-3)),"",LEFT(J225,SEARCH("00",J225)-3))="LC"),
    "", "Video " &amp; IF(1=N("Si système a un scanner différent du Scanner populaire alors différent, sinon Scanner populaire")+AND(NOT(ISERROR(SEARCH("System",J225))),LEFT(J225,2)&lt;&gt;LEFT(PROD_MostPopularScanner,2)),
LEFT(J225,SEARCH("00",J225)-3),
PROD_MostPopularScanner) &amp; " Install"))
)</f>
        <v/>
      </c>
      <c r="M226" s="378" t="str">
        <f>IF(N("If it is Dendro or Tron, Do not Show Color Analysis Video")+
OR(AND(ROW(L226)&gt;=9,ROW(L226)&lt;=38),
AND(ROW(L226)&gt;=99,ROW(L226)&lt;=128)), "","☐ Video ClrAna")</f>
        <v>☐ Video ClrAna</v>
      </c>
      <c r="N226" s="379" t="str">
        <f>IF(OR(INT((ROW(D226)-10)/30)+1=2,INT((ROW(D226)-10)/30)+1=4),"","☐ ")&amp;
IF(INT((ROW(D226)-10)/30)+1=1,"Scanner.cal","")&amp;
IF(INT((ROW(D226)-10)/30)+1=2,"","")&amp;
IF(INT((ROW(D226)-10)/30)+1=3,"Scanner.cal","")&amp;
IF(INT((ROW(D226)-10)/30)+1=4,"","")&amp;
IF(INT((ROW(D226)-10)/30)+1=5,"Scanner.cal","")&amp;
IF(INT((ROW(D226)-10)/30)+1=6,"Scanner.cal","")&amp;
IF(INT((ROW(D226)-10)/30)+1=7,"Scanner.cal","")&amp;
IF(INT((ROW(D226)-10)/30)+1=8,"Indiv" &amp; " Lens.cal","")</f>
        <v>☐ Indiv Lens.cal</v>
      </c>
      <c r="O226" s="307" t="str">
        <f>IF(AND(ROW(L226)&gt;=9,ROW(L226)&lt;=38),"☐ RegentTarget.blu","")</f>
        <v/>
      </c>
      <c r="P226" s="215"/>
      <c r="Q226" s="215"/>
    </row>
    <row r="227" spans="1:17" ht="24" customHeight="1" x14ac:dyDescent="0.2">
      <c r="A227" s="458" t="s">
        <v>259</v>
      </c>
      <c r="B227" s="224" t="s">
        <v>259</v>
      </c>
      <c r="C227" s="307" t="s">
        <v>152</v>
      </c>
      <c r="D227" s="307" t="str">
        <f xml:space="preserve"> IF(N("If it is Cam, Do not Show XL")+AND(ROW(D227)&gt;=189,ROW(D227)&lt;=218),"","☐ XL Man")</f>
        <v>☐ XL Man</v>
      </c>
      <c r="E227" s="437" t="str">
        <f>IF(N("Si OR dessous = vrai, pas de box")+OR(
N("1 OR Tron ou CELL")+OR(AND(ROW(K226)&gt;=39,ROW(K226)&lt;=68),AND(ROW(K226)&gt;=99,ROW(K226)&lt;=128)),
N("2 Pas de système scanopy and range opy")+AND(ROW(K226)&gt;=219,ROW(K226)&lt;=248,SCANOPY_N_System&lt;2),
N("3 Avec LC")&amp;IF(ISERROR(LEFT(J225,SEARCH("00",J225)-3)),"",LEFT(J225,SEARCH("00",J225)-3))="LC"),"","☐ ")
&amp;
IF(N("If it's OPY, put OMount Manual instead")+
AND(ROW(J226)&gt;=219,ROW(J226)&lt;=248),
IF(SCANOPY_N_System&gt;1,"OMount Man",""),
IF(N("If it is Cell or Tron, Do not Show Scanner related items")+OR(
AND(ROW(K226)&gt;=39,ROW(K226)&lt;=68),
AND(ROW(K226)&gt;=99,ROW(K226)&lt;=128)),
    "", IF(1=N("Si système a un scanner différent du Scanner populaire alors différent, sinon Scanner populaire")+AND(NOT(ISERROR(SEARCH("System",J225))),LEFT(J225,2)&lt;&gt;LEFT(PROD_MostPopularScanner,2)),
LEFT(J225,SEARCH("00",J225)-3),
PROD_MostPopularScanner) &amp; " Install Man"))</f>
        <v/>
      </c>
      <c r="F227" s="380" t="s">
        <v>275</v>
      </c>
      <c r="G227" s="307" t="s">
        <v>274</v>
      </c>
      <c r="H227" s="439" t="s">
        <v>250</v>
      </c>
      <c r="I227" s="381"/>
      <c r="J227" s="307" t="str">
        <f ca="1">IF(AND(
INDIRECT(
IF(INT((ROW(D227)-10)/30)+1=1,"DENDRO","")&amp;
IF(INT((ROW(D227)-10)/30)+1=2,"CELL","")&amp;
IF(INT((ROW(D227)-10)/30)+1=3,"RHIZO","")&amp;
IF(INT((ROW(D227)-10)/30)+1=4,"RHIZOTRON","")&amp;
IF(INT((ROW(D227)-10)/30)+1=5,"FOLIA","")&amp;
IF(INT((ROW(D227)-10)/30)+1=6,"SEEDLE","")&amp;
IF(INT((ROW(D227)-10)/30)+1=7,"CAM","")&amp;
IF(INT((ROW(D227)-10)/30)+1=8,"SCANOPY","") &amp; "_ChkB_RemoteUpdate"),
INDIRECT(
IF(INT((ROW(D227)-10)/30)+1=1,"DENDRO","")&amp;
IF(INT((ROW(D227)-10)/30)+1=2,"CELL","")&amp;
IF(INT((ROW(D227)-10)/30)+1=3,"RHIZO","")&amp;
IF(INT((ROW(D227)-10)/30)+1=4,"RHIZOTRON","")&amp;
IF(INT((ROW(D227)-10)/30)+1=5,"FOLIA","")&amp;
IF(INT((ROW(D227)-10)/30)+1=6,"SEEDLE","")&amp;
IF(INT((ROW(D227)-10)/30)+1=7,"CAM","")&amp;
IF(INT((ROW(D227)-10)/30)+1=8,"SCANOPY","") &amp; "_ChkBox_UpgradeUpdate")),
"Clé de bois ou Download. Reprogrammation clé client",
"☐ " &amp; IF(AND(QUOTE_Split_SoftwareHardware,QUOTE_InternetDownload),"Man ds env. ""Documents"", Clé ds bulle collée sur env.","Reliée au Man"))</f>
        <v>☐ Reliée au Man</v>
      </c>
      <c r="K227" s="265"/>
      <c r="L227" s="223"/>
      <c r="M227" s="439"/>
      <c r="N227" s="380"/>
      <c r="O227" s="307"/>
      <c r="P227" s="215"/>
      <c r="Q227" s="215"/>
    </row>
    <row r="228" spans="1:17" ht="16.25" customHeight="1" x14ac:dyDescent="0.2">
      <c r="A228" s="422"/>
      <c r="B228" s="297"/>
      <c r="C228" s="902" t="str">
        <f>IF((SCANOPY_N_UpgradeUpdate + SCANOPY_N_Software ) = 2,"",LEFT(INDEX(SCANOPY_SoftwareFullNames,SCANOPY_IndexSoftware),FIND(" ",INDEX(SCANOPY_SoftwareFullNames,SCANOPY_IndexSoftware),FIND(" ",INDEX(SCANOPY_SoftwareFullNames,SCANOPY_IndexSoftware))+1)) &amp;
SCANOPY_YearMostRecent )</f>
        <v/>
      </c>
      <c r="D228" s="902"/>
      <c r="E228" s="305"/>
      <c r="F228" s="305"/>
      <c r="G228" s="276" t="str">
        <f>IF(SCANOPY_OptionXL*(SCANOPY_N_Software+SCANOPY_N_UpgradeUpdate-2)&gt;=((ROW(G228)-ROW($G$219))/4+1),"XLSCANOPY "&amp; SCANOPY_YearMostRecent,IF(SCANOPY_Option1*(SCANOPY_N_Software-1)&gt;=((ROW(G228)-ROW($G$219))/4+1),"XLSCANOPY Mini "&amp; SCANOPY_YearMostRecent,""))</f>
        <v/>
      </c>
      <c r="H228" s="263"/>
      <c r="I228" s="263"/>
      <c r="J228" s="276" t="str">
        <f>IF(SCANOPY_N_System-1&gt;=((ROW(G228)-ROW($G$219))/4+1),IF(Francais,"Système","")&amp;IF(SCANOPY_IndexScanner=1," 24 MP DSLR"," 24 MP Mini Point&amp;Shoot")&amp;IF(Francais,""," System"),
IF(AND(SCANOPY_N_Software&gt;SCANOPY_N_System,SCANOPY_N_Software-1&gt;=((ROW(G228)-ROW($G$219))/4+1)),IF(N_SystemTotal=0,"Software Only",IF(N_STDScanners+N_LAScanners+N_LCScanners=0,"Software Sans Scanner","Software Avec Scanner")),
IF(SCANOPY_N_UpgradeUpdate-1&gt;=((ROW(G228)-ROW($G$219))/4+1)-(MAX(SCANOPY_N_System,SCANOPY_N_Software)-1),"Update","")))</f>
        <v/>
      </c>
      <c r="K228" s="263"/>
      <c r="L228" s="262"/>
      <c r="M228" s="262"/>
      <c r="N228" s="262"/>
      <c r="O228" s="215"/>
      <c r="P228" s="215"/>
      <c r="Q228" s="215"/>
    </row>
    <row r="229" spans="1:17" ht="24" customHeight="1" x14ac:dyDescent="0.2">
      <c r="A229" s="458" t="s">
        <v>258</v>
      </c>
      <c r="B229" s="287" t="s">
        <v>258</v>
      </c>
      <c r="C229" s="378" t="str">
        <f>IF(AND(QUOTE_Split_SoftwareHardware,QUOTE_InternetDownload),"",
"☐☐ Win" &amp;
IF(INT((ROW(D229)-10)/30)+1=1,"DEN","")&amp;
IF(INT((ROW(D229)-10)/30)+1=2,"CEL","")&amp;
IF(INT((ROW(D229)-10)/30)+1=3,"RHI","")&amp;
IF(INT((ROW(D229)-10)/30)+1=4,"RT","")&amp;
IF(INT((ROW(D229)-10)/30)+1=5,"FOL","")&amp;
IF(INT((ROW(D229)-10)/30)+1=6,"SEE","")&amp;
IF(INT((ROW(D229)-10)/30)+1=7,"CAM","")&amp;
IF(INT((ROW(D229)-10)/30)+1=8,"SCA","") &amp; ".exe")</f>
        <v>☐☐ WinSCA.exe</v>
      </c>
      <c r="D229" s="378" t="str">
        <f>IF(AND(QUOTE_Split_SoftwareHardware,QUOTE_InternetDownload),"",
 IF(N("If it is Cam, Do not Show XL")+AND(ROW(D229)&gt;=189,ROW(D229)&lt;=218),"","☐ XL" &amp;
IF(INT((ROW(D229)-10)/30)+1=1,"STEM","")&amp;
IF(INT((ROW(D229)-10)/30)+1=2,"Cell","")&amp;
IF(INT((ROW(D229)-10)/30)+1=3,"Rhizo","")&amp;
IF(INT((ROW(D229)-10)/30)+1=4,"RhizoT","")&amp;
IF(INT((ROW(D229)-10)/30)+1=5,"Folia","")&amp;
IF(INT((ROW(D229)-10)/30)+1=6,"Seedle","")&amp;
IF(INT((ROW(D229)-10)/30)+1=7,"Cam","")&amp;
IF(INT((ROW(D229)-10)/30)+1=8,"Scanopy","") &amp; ".xls"))</f>
        <v>☐ XLScanopy.xls</v>
      </c>
      <c r="E229" s="378" t="s">
        <v>299</v>
      </c>
      <c r="F229" s="379" t="s">
        <v>152</v>
      </c>
      <c r="G229" s="378" t="str">
        <f xml:space="preserve"> IF(N("If it is Cam, Do not Show XL")+AND(ROW(G229)&gt;=189,ROW(G229)&lt;=218),"","☐ XL Man")</f>
        <v>☐ XL Man</v>
      </c>
      <c r="H229" s="379" t="s">
        <v>280</v>
      </c>
      <c r="I229" s="307" t="s">
        <v>274</v>
      </c>
      <c r="J229" s="379" t="str">
        <f>IF(N("Si OR dessous = vrai, pas de box")+OR(
N("1 OR Tron ou CELL")+OR(AND(ROW(E229)&gt;=39,ROW(E229)&lt;=68),AND(ROW(E229)&gt;=99,ROW(E229)&lt;=128)),
N("2 Pas de système scanopy and range opy")+AND(ROW(E229)&gt;=219,ROW(E229)&lt;=248,SCANOPY_N_System&lt;2),
N("3 Avec LC") + IF(AND(IF(PROD_MostPopularScanner="LC",1,0), NOT(AND(ROW(E229)&gt;=129,ROW(E229)&lt;=158)), NOT(AND(ROW(E229)&gt;=189,ROW(E229)&lt;=218))),1,0)
),"","☐ ")
&amp;
IF(N("If it's OPY, put OMount Manual instead")+
AND(ROW(D229)&gt;=219,ROW(D229)&lt;=248),
IF(SCANOPY_N_System&gt;1,
IF(SCANOPY_IndexScanner=1,"α" &amp; SCANOPY_CameraModel,SCANOPY_CameraModel_Mini) &amp; " Man",""),
IF(N("Empty si OR = true . . .If it is Cell or Tron, Do not Show Scanner related items + Hide if LC is favorite on unavailable product")+OR(
AND(ROW(E229)&gt;=39,ROW(E229)&lt;=68),
AND(ROW(E229)&gt;=99,ROW(E229)&lt;=128),
AND(IF(PROD_MostPopularScanner="LC",1,0), NOT(AND(ROW(E229)&gt;=129,ROW(E229)&lt;=158)), NOT(AND(ROW(E229)&gt;=189,ROW(E229)&lt;=218))),
0=1),
    "", IF(1=N("Si système a un scanner différent du Scanner populaire alors différent, sinon Scanner populaire")+AND(NOT(ISERROR(SEARCH("System",J228))),LEFT(J228,2)&lt;&gt;LEFT(PROD_MostPopularScanner,2)),
LEFT(J228,SEARCH("00",J228)-3),
PROD_MostPopularScanner) &amp; " Install Man"))</f>
        <v/>
      </c>
      <c r="K229" s="378" t="str">
        <f>IF(N("If it is Cell or Tron or OPY, Do not Show Twain")+OR(AND(ROW(K229)&gt;=39,ROW(K229)&lt;=68),AND(ROW(K229)&gt;=99,ROW(K229)&lt;=128),AND(ROW(J229)&gt;=219,ROW(J229)&lt;=248)),"","☐ TWAIN")</f>
        <v/>
      </c>
      <c r="L229" s="379" t="str">
        <f>IF(AND(IF(PROD_MostPopularScanner="LC",1,0), NOT(AND(ROW(E229)&gt;=129,ROW(E229)&lt;=158)), NOT(AND(ROW(E229)&gt;=189,ROW(E229)&lt;=218))),"",
IF(N("Si OR dessous = vrai, pas de box")+OR(
N("1 OR Dendro+CELL, Tron+Folia,Cam")+OR(
AND(ROW(K229)&gt;=9,ROW(K229)&lt;=68),
AND(ROW(K229)&gt;=99,ROW(K229)&lt;=158),
AND(ROW(K229)&gt;=189,ROW(K229)&lt;=218)),
N("2 Pas de système scanopy and range opy")+AND(ROW(K229)&gt;=219,ROW(K229)&lt;=248,SCANOPY_N_System&lt;2),
N("3 Avec LC")&amp;IF(ISERROR(LEFT(J228,SEARCH("00",J228)-3)),"",LEFT(J228,SEARCH("00",J228)-3))="LC"),"","☐ ")
&amp;
IF(N("If it's OPY, put OMount Manual instead")+
AND(ROW(J229)&gt;=219,ROW(J229)&lt;=248),
IF(SCANOPY_N_System&gt;1,"OMount Man",""),
IF(N("If it is Dendro+CELL, Tron+Folia or Cam, Do not Show Scanner related items+No Video if LC")+OR(
AND(ROW(K229)&gt;=9,ROW(K229)&lt;=68),
AND(ROW(K229)&gt;=99,ROW(K229)&lt;=158),
AND(ROW(K229)&gt;=189,ROW(K229)&lt;=218),
IF(ISERROR(LEFT(J228,SEARCH("00",J228)-3)),"",LEFT(J228,SEARCH("00",J228)-3))="LC"),
    "", "Video " &amp; IF(1=N("Si système a un scanner différent du Scanner populaire alors différent, sinon Scanner populaire")+AND(NOT(ISERROR(SEARCH("System",J228))),LEFT(J228,2)&lt;&gt;LEFT(PROD_MostPopularScanner,2)),
LEFT(J228,SEARCH("00",J228)-3),
PROD_MostPopularScanner) &amp; " Install"))
)</f>
        <v/>
      </c>
      <c r="M229" s="378" t="str">
        <f>IF(N("If it is Dendro or Tron, Do not Show Color Analysis Video")+
OR(AND(ROW(L229)&gt;=9,ROW(L229)&lt;=38),
AND(ROW(L229)&gt;=99,ROW(L229)&lt;=128)), "","☐ Video ClrAna")</f>
        <v>☐ Video ClrAna</v>
      </c>
      <c r="N229" s="379" t="str">
        <f>IF(OR(INT((ROW(D229)-10)/30)+1=2,INT((ROW(D229)-10)/30)+1=4),"","☐ ")&amp;
IF(INT((ROW(D229)-10)/30)+1=1,"Scanner.cal","")&amp;
IF(INT((ROW(D229)-10)/30)+1=2,"","")&amp;
IF(INT((ROW(D229)-10)/30)+1=3,"Scanner.cal","")&amp;
IF(INT((ROW(D229)-10)/30)+1=4,"","")&amp;
IF(INT((ROW(D229)-10)/30)+1=5,"Scanner.cal","")&amp;
IF(INT((ROW(D229)-10)/30)+1=6,"Scanner.cal","")&amp;
IF(INT((ROW(D229)-10)/30)+1=7,"Scanner.cal","")&amp;
IF(INT((ROW(D229)-10)/30)+1=8,"Indiv" &amp; " Lens.cal","")</f>
        <v>☐ Indiv Lens.cal</v>
      </c>
      <c r="O229" s="307" t="str">
        <f>IF(AND(ROW(L229)&gt;=9,ROW(L229)&lt;=38),"☐ RegentTarget.blu","")</f>
        <v/>
      </c>
      <c r="P229" s="215"/>
      <c r="Q229" s="215"/>
    </row>
    <row r="230" spans="1:17" ht="24" customHeight="1" x14ac:dyDescent="0.2">
      <c r="A230" s="458" t="s">
        <v>259</v>
      </c>
      <c r="B230" s="224" t="s">
        <v>259</v>
      </c>
      <c r="C230" s="307" t="s">
        <v>152</v>
      </c>
      <c r="D230" s="307" t="str">
        <f xml:space="preserve"> IF(N("If it is Cam, Do not Show XL")+AND(ROW(D230)&gt;=189,ROW(D230)&lt;=218),"","☐ XL Man")</f>
        <v>☐ XL Man</v>
      </c>
      <c r="E230" s="437" t="str">
        <f>IF(N("Si OR dessous = vrai, pas de box")+OR(
N("1 OR Tron ou CELL")+OR(AND(ROW(K229)&gt;=39,ROW(K229)&lt;=68),AND(ROW(K229)&gt;=99,ROW(K229)&lt;=128)),
N("2 Pas de système scanopy and range opy")+AND(ROW(K229)&gt;=219,ROW(K229)&lt;=248,SCANOPY_N_System&lt;2),
N("3 Avec LC")&amp;IF(ISERROR(LEFT(J228,SEARCH("00",J228)-3)),"",LEFT(J228,SEARCH("00",J228)-3))="LC"),"","☐ ")
&amp;
IF(N("If it's OPY, put OMount Manual instead")+
AND(ROW(J229)&gt;=219,ROW(J229)&lt;=248),
IF(SCANOPY_N_System&gt;1,"OMount Man",""),
IF(N("If it is Cell or Tron, Do not Show Scanner related items")+OR(
AND(ROW(K229)&gt;=39,ROW(K229)&lt;=68),
AND(ROW(K229)&gt;=99,ROW(K229)&lt;=128)),
    "", IF(1=N("Si système a un scanner différent du Scanner populaire alors différent, sinon Scanner populaire")+AND(NOT(ISERROR(SEARCH("System",J228))),LEFT(J228,2)&lt;&gt;LEFT(PROD_MostPopularScanner,2)),
LEFT(J228,SEARCH("00",J228)-3),
PROD_MostPopularScanner) &amp; " Install Man"))</f>
        <v/>
      </c>
      <c r="F230" s="380" t="s">
        <v>275</v>
      </c>
      <c r="G230" s="307" t="s">
        <v>274</v>
      </c>
      <c r="H230" s="439" t="s">
        <v>250</v>
      </c>
      <c r="I230" s="381"/>
      <c r="J230" s="307" t="str">
        <f ca="1">IF(AND(
INDIRECT(
IF(INT((ROW(D230)-10)/30)+1=1,"DENDRO","")&amp;
IF(INT((ROW(D230)-10)/30)+1=2,"CELL","")&amp;
IF(INT((ROW(D230)-10)/30)+1=3,"RHIZO","")&amp;
IF(INT((ROW(D230)-10)/30)+1=4,"RHIZOTRON","")&amp;
IF(INT((ROW(D230)-10)/30)+1=5,"FOLIA","")&amp;
IF(INT((ROW(D230)-10)/30)+1=6,"SEEDLE","")&amp;
IF(INT((ROW(D230)-10)/30)+1=7,"CAM","")&amp;
IF(INT((ROW(D230)-10)/30)+1=8,"SCANOPY","") &amp; "_ChkB_RemoteUpdate"),
INDIRECT(
IF(INT((ROW(D230)-10)/30)+1=1,"DENDRO","")&amp;
IF(INT((ROW(D230)-10)/30)+1=2,"CELL","")&amp;
IF(INT((ROW(D230)-10)/30)+1=3,"RHIZO","")&amp;
IF(INT((ROW(D230)-10)/30)+1=4,"RHIZOTRON","")&amp;
IF(INT((ROW(D230)-10)/30)+1=5,"FOLIA","")&amp;
IF(INT((ROW(D230)-10)/30)+1=6,"SEEDLE","")&amp;
IF(INT((ROW(D230)-10)/30)+1=7,"CAM","")&amp;
IF(INT((ROW(D230)-10)/30)+1=8,"SCANOPY","") &amp; "_ChkBox_UpgradeUpdate")),
"Clé de bois ou Download. Reprogrammation clé client",
"☐ " &amp; IF(AND(QUOTE_Split_SoftwareHardware,QUOTE_InternetDownload),"Man ds env. ""Documents"", Clé ds bulle collée sur env.","Reliée au Man"))</f>
        <v>☐ Reliée au Man</v>
      </c>
      <c r="K230" s="265"/>
      <c r="L230" s="223"/>
      <c r="M230" s="439"/>
      <c r="N230" s="380"/>
      <c r="O230" s="307"/>
      <c r="P230" s="215"/>
      <c r="Q230" s="215"/>
    </row>
    <row r="231" spans="1:17" ht="16.25" customHeight="1" x14ac:dyDescent="0.2">
      <c r="A231" s="422"/>
      <c r="B231" s="297"/>
      <c r="C231" s="902" t="str">
        <f>IF((SCANOPY_N_UpgradeUpdate + SCANOPY_N_Software ) = 2,"",LEFT(INDEX(SCANOPY_SoftwareFullNames,SCANOPY_IndexSoftware),FIND(" ",INDEX(SCANOPY_SoftwareFullNames,SCANOPY_IndexSoftware),FIND(" ",INDEX(SCANOPY_SoftwareFullNames,SCANOPY_IndexSoftware))+1)) &amp;
SCANOPY_YearMostRecent )</f>
        <v/>
      </c>
      <c r="D231" s="902"/>
      <c r="E231" s="305"/>
      <c r="F231" s="305"/>
      <c r="G231" s="276" t="str">
        <f>IF(SCANOPY_OptionXL*(SCANOPY_N_Software+SCANOPY_N_UpgradeUpdate-2)&gt;=((ROW(G231)-ROW($G$219))/4+1),"XLSCANOPY "&amp; SCANOPY_YearMostRecent,IF(SCANOPY_Option1*(SCANOPY_N_Software-1)&gt;=((ROW(G231)-ROW($G$219))/4+1),"XLSCANOPY Mini "&amp; SCANOPY_YearMostRecent,""))</f>
        <v/>
      </c>
      <c r="H231" s="263"/>
      <c r="I231" s="263"/>
      <c r="J231" s="276" t="str">
        <f>IF(SCANOPY_N_System-1&gt;=((ROW(G231)-ROW($G$219))/4+1),IF(Francais,"Système","")&amp;IF(SCANOPY_IndexScanner=1," 24 MP DSLR"," 24 MP Mini Point&amp;Shoot")&amp;IF(Francais,""," System"),
IF(AND(SCANOPY_N_Software&gt;SCANOPY_N_System,SCANOPY_N_Software-1&gt;=((ROW(G231)-ROW($G$219))/4+1)),IF(N_SystemTotal=0,"Software Only",IF(N_STDScanners+N_LAScanners+N_LCScanners=0,"Software Sans Scanner","Software Avec Scanner")),
IF(SCANOPY_N_UpgradeUpdate-1&gt;=((ROW(G231)-ROW($G$219))/4+1)-(MAX(SCANOPY_N_System,SCANOPY_N_Software)-1),"Update","")))</f>
        <v/>
      </c>
      <c r="K231" s="263"/>
      <c r="L231" s="262"/>
      <c r="M231" s="262"/>
      <c r="N231" s="262"/>
      <c r="O231" s="215"/>
      <c r="P231" s="215"/>
      <c r="Q231" s="215"/>
    </row>
    <row r="232" spans="1:17" ht="24" customHeight="1" x14ac:dyDescent="0.2">
      <c r="A232" s="458" t="s">
        <v>258</v>
      </c>
      <c r="B232" s="287" t="s">
        <v>258</v>
      </c>
      <c r="C232" s="378" t="str">
        <f>IF(AND(QUOTE_Split_SoftwareHardware,QUOTE_InternetDownload),"",
"☐☐ Win" &amp;
IF(INT((ROW(D232)-10)/30)+1=1,"DEN","")&amp;
IF(INT((ROW(D232)-10)/30)+1=2,"CEL","")&amp;
IF(INT((ROW(D232)-10)/30)+1=3,"RHI","")&amp;
IF(INT((ROW(D232)-10)/30)+1=4,"RT","")&amp;
IF(INT((ROW(D232)-10)/30)+1=5,"FOL","")&amp;
IF(INT((ROW(D232)-10)/30)+1=6,"SEE","")&amp;
IF(INT((ROW(D232)-10)/30)+1=7,"CAM","")&amp;
IF(INT((ROW(D232)-10)/30)+1=8,"SCA","") &amp; ".exe")</f>
        <v>☐☐ WinSCA.exe</v>
      </c>
      <c r="D232" s="378" t="str">
        <f>IF(AND(QUOTE_Split_SoftwareHardware,QUOTE_InternetDownload),"",
 IF(N("If it is Cam, Do not Show XL")+AND(ROW(D232)&gt;=189,ROW(D232)&lt;=218),"","☐ XL" &amp;
IF(INT((ROW(D232)-10)/30)+1=1,"STEM","")&amp;
IF(INT((ROW(D232)-10)/30)+1=2,"Cell","")&amp;
IF(INT((ROW(D232)-10)/30)+1=3,"Rhizo","")&amp;
IF(INT((ROW(D232)-10)/30)+1=4,"RhizoT","")&amp;
IF(INT((ROW(D232)-10)/30)+1=5,"Folia","")&amp;
IF(INT((ROW(D232)-10)/30)+1=6,"Seedle","")&amp;
IF(INT((ROW(D232)-10)/30)+1=7,"Cam","")&amp;
IF(INT((ROW(D232)-10)/30)+1=8,"Scanopy","") &amp; ".xls"))</f>
        <v>☐ XLScanopy.xls</v>
      </c>
      <c r="E232" s="378" t="s">
        <v>299</v>
      </c>
      <c r="F232" s="379" t="s">
        <v>152</v>
      </c>
      <c r="G232" s="378" t="str">
        <f xml:space="preserve"> IF(N("If it is Cam, Do not Show XL")+AND(ROW(G232)&gt;=189,ROW(G232)&lt;=218),"","☐ XL Man")</f>
        <v>☐ XL Man</v>
      </c>
      <c r="H232" s="379" t="s">
        <v>280</v>
      </c>
      <c r="I232" s="307" t="s">
        <v>274</v>
      </c>
      <c r="J232" s="379" t="str">
        <f>IF(N("Si OR dessous = vrai, pas de box")+OR(
N("1 OR Tron ou CELL")+OR(AND(ROW(E232)&gt;=39,ROW(E232)&lt;=68),AND(ROW(E232)&gt;=99,ROW(E232)&lt;=128)),
N("2 Pas de système scanopy and range opy")+AND(ROW(E232)&gt;=219,ROW(E232)&lt;=248,SCANOPY_N_System&lt;2),
N("3 Avec LC") + IF(AND(IF(PROD_MostPopularScanner="LC",1,0), NOT(AND(ROW(E232)&gt;=129,ROW(E232)&lt;=158)), NOT(AND(ROW(E232)&gt;=189,ROW(E232)&lt;=218))),1,0)
),"","☐ ")
&amp;
IF(N("If it's OPY, put OMount Manual instead")+
AND(ROW(D232)&gt;=219,ROW(D232)&lt;=248),
IF(SCANOPY_N_System&gt;1,
IF(SCANOPY_IndexScanner=1,"α" &amp; SCANOPY_CameraModel,SCANOPY_CameraModel_Mini) &amp; " Man",""),
IF(N("Empty si OR = true . . .If it is Cell or Tron, Do not Show Scanner related items + Hide if LC is favorite on unavailable product")+OR(
AND(ROW(E232)&gt;=39,ROW(E232)&lt;=68),
AND(ROW(E232)&gt;=99,ROW(E232)&lt;=128),
AND(IF(PROD_MostPopularScanner="LC",1,0), NOT(AND(ROW(E232)&gt;=129,ROW(E232)&lt;=158)), NOT(AND(ROW(E232)&gt;=189,ROW(E232)&lt;=218))),
0=1),
    "", IF(1=N("Si système a un scanner différent du Scanner populaire alors différent, sinon Scanner populaire")+AND(NOT(ISERROR(SEARCH("System",J231))),LEFT(J231,2)&lt;&gt;LEFT(PROD_MostPopularScanner,2)),
LEFT(J231,SEARCH("00",J231)-3),
PROD_MostPopularScanner) &amp; " Install Man"))</f>
        <v/>
      </c>
      <c r="K232" s="378" t="str">
        <f>IF(N("If it is Cell or Tron or OPY, Do not Show Twain")+OR(AND(ROW(K232)&gt;=39,ROW(K232)&lt;=68),AND(ROW(K232)&gt;=99,ROW(K232)&lt;=128),AND(ROW(J232)&gt;=219,ROW(J232)&lt;=248)),"","☐ TWAIN")</f>
        <v/>
      </c>
      <c r="L232" s="379" t="str">
        <f>IF(AND(IF(PROD_MostPopularScanner="LC",1,0), NOT(AND(ROW(E232)&gt;=129,ROW(E232)&lt;=158)), NOT(AND(ROW(E232)&gt;=189,ROW(E232)&lt;=218))),"",
IF(N("Si OR dessous = vrai, pas de box")+OR(
N("1 OR Dendro+CELL, Tron+Folia,Cam")+OR(
AND(ROW(K232)&gt;=9,ROW(K232)&lt;=68),
AND(ROW(K232)&gt;=99,ROW(K232)&lt;=158),
AND(ROW(K232)&gt;=189,ROW(K232)&lt;=218)),
N("2 Pas de système scanopy and range opy")+AND(ROW(K232)&gt;=219,ROW(K232)&lt;=248,SCANOPY_N_System&lt;2),
N("3 Avec LC")&amp;IF(ISERROR(LEFT(J231,SEARCH("00",J231)-3)),"",LEFT(J231,SEARCH("00",J231)-3))="LC"),"","☐ ")
&amp;
IF(N("If it's OPY, put OMount Manual instead")+
AND(ROW(J232)&gt;=219,ROW(J232)&lt;=248),
IF(SCANOPY_N_System&gt;1,"OMount Man",""),
IF(N("If it is Dendro+CELL, Tron+Folia or Cam, Do not Show Scanner related items+No Video if LC")+OR(
AND(ROW(K232)&gt;=9,ROW(K232)&lt;=68),
AND(ROW(K232)&gt;=99,ROW(K232)&lt;=158),
AND(ROW(K232)&gt;=189,ROW(K232)&lt;=218),
IF(ISERROR(LEFT(J231,SEARCH("00",J231)-3)),"",LEFT(J231,SEARCH("00",J231)-3))="LC"),
    "", "Video " &amp; IF(1=N("Si système a un scanner différent du Scanner populaire alors différent, sinon Scanner populaire")+AND(NOT(ISERROR(SEARCH("System",J231))),LEFT(J231,2)&lt;&gt;LEFT(PROD_MostPopularScanner,2)),
LEFT(J231,SEARCH("00",J231)-3),
PROD_MostPopularScanner) &amp; " Install"))
)</f>
        <v/>
      </c>
      <c r="M232" s="378" t="str">
        <f>IF(N("If it is Dendro or Tron, Do not Show Color Analysis Video")+
OR(AND(ROW(L232)&gt;=9,ROW(L232)&lt;=38),
AND(ROW(L232)&gt;=99,ROW(L232)&lt;=128)), "","☐ Video ClrAna")</f>
        <v>☐ Video ClrAna</v>
      </c>
      <c r="N232" s="379" t="str">
        <f>IF(OR(INT((ROW(D232)-10)/30)+1=2,INT((ROW(D232)-10)/30)+1=4),"","☐ ")&amp;
IF(INT((ROW(D232)-10)/30)+1=1,"Scanner.cal","")&amp;
IF(INT((ROW(D232)-10)/30)+1=2,"","")&amp;
IF(INT((ROW(D232)-10)/30)+1=3,"Scanner.cal","")&amp;
IF(INT((ROW(D232)-10)/30)+1=4,"","")&amp;
IF(INT((ROW(D232)-10)/30)+1=5,"Scanner.cal","")&amp;
IF(INT((ROW(D232)-10)/30)+1=6,"Scanner.cal","")&amp;
IF(INT((ROW(D232)-10)/30)+1=7,"Scanner.cal","")&amp;
IF(INT((ROW(D232)-10)/30)+1=8,"Indiv" &amp; " Lens.cal","")</f>
        <v>☐ Indiv Lens.cal</v>
      </c>
      <c r="O232" s="307" t="str">
        <f>IF(AND(ROW(L232)&gt;=9,ROW(L232)&lt;=38),"☐ RegentTarget.blu","")</f>
        <v/>
      </c>
      <c r="P232" s="215"/>
      <c r="Q232" s="215"/>
    </row>
    <row r="233" spans="1:17" ht="24" customHeight="1" x14ac:dyDescent="0.2">
      <c r="A233" s="458" t="s">
        <v>259</v>
      </c>
      <c r="B233" s="224" t="s">
        <v>259</v>
      </c>
      <c r="C233" s="307" t="s">
        <v>152</v>
      </c>
      <c r="D233" s="307" t="str">
        <f xml:space="preserve"> IF(N("If it is Cam, Do not Show XL")+AND(ROW(D233)&gt;=189,ROW(D233)&lt;=218),"","☐ XL Man")</f>
        <v>☐ XL Man</v>
      </c>
      <c r="E233" s="437" t="str">
        <f>IF(N("Si OR dessous = vrai, pas de box")+OR(
N("1 OR Tron ou CELL")+OR(AND(ROW(K232)&gt;=39,ROW(K232)&lt;=68),AND(ROW(K232)&gt;=99,ROW(K232)&lt;=128)),
N("2 Pas de système scanopy and range opy")+AND(ROW(K232)&gt;=219,ROW(K232)&lt;=248,SCANOPY_N_System&lt;2),
N("3 Avec LC")&amp;IF(ISERROR(LEFT(J231,SEARCH("00",J231)-3)),"",LEFT(J231,SEARCH("00",J231)-3))="LC"),"","☐ ")
&amp;
IF(N("If it's OPY, put OMount Manual instead")+
AND(ROW(J232)&gt;=219,ROW(J232)&lt;=248),
IF(SCANOPY_N_System&gt;1,"OMount Man",""),
IF(N("If it is Cell or Tron, Do not Show Scanner related items")+OR(
AND(ROW(K232)&gt;=39,ROW(K232)&lt;=68),
AND(ROW(K232)&gt;=99,ROW(K232)&lt;=128)),
    "", IF(1=N("Si système a un scanner différent du Scanner populaire alors différent, sinon Scanner populaire")+AND(NOT(ISERROR(SEARCH("System",J231))),LEFT(J231,2)&lt;&gt;LEFT(PROD_MostPopularScanner,2)),
LEFT(J231,SEARCH("00",J231)-3),
PROD_MostPopularScanner) &amp; " Install Man"))</f>
        <v/>
      </c>
      <c r="F233" s="380" t="s">
        <v>275</v>
      </c>
      <c r="G233" s="307" t="s">
        <v>274</v>
      </c>
      <c r="H233" s="439" t="s">
        <v>250</v>
      </c>
      <c r="I233" s="381"/>
      <c r="J233" s="307" t="str">
        <f ca="1">IF(AND(
INDIRECT(
IF(INT((ROW(D233)-10)/30)+1=1,"DENDRO","")&amp;
IF(INT((ROW(D233)-10)/30)+1=2,"CELL","")&amp;
IF(INT((ROW(D233)-10)/30)+1=3,"RHIZO","")&amp;
IF(INT((ROW(D233)-10)/30)+1=4,"RHIZOTRON","")&amp;
IF(INT((ROW(D233)-10)/30)+1=5,"FOLIA","")&amp;
IF(INT((ROW(D233)-10)/30)+1=6,"SEEDLE","")&amp;
IF(INT((ROW(D233)-10)/30)+1=7,"CAM","")&amp;
IF(INT((ROW(D233)-10)/30)+1=8,"SCANOPY","") &amp; "_ChkB_RemoteUpdate"),
INDIRECT(
IF(INT((ROW(D233)-10)/30)+1=1,"DENDRO","")&amp;
IF(INT((ROW(D233)-10)/30)+1=2,"CELL","")&amp;
IF(INT((ROW(D233)-10)/30)+1=3,"RHIZO","")&amp;
IF(INT((ROW(D233)-10)/30)+1=4,"RHIZOTRON","")&amp;
IF(INT((ROW(D233)-10)/30)+1=5,"FOLIA","")&amp;
IF(INT((ROW(D233)-10)/30)+1=6,"SEEDLE","")&amp;
IF(INT((ROW(D233)-10)/30)+1=7,"CAM","")&amp;
IF(INT((ROW(D233)-10)/30)+1=8,"SCANOPY","") &amp; "_ChkBox_UpgradeUpdate")),
"Clé de bois ou Download. Reprogrammation clé client",
"☐ " &amp; IF(AND(QUOTE_Split_SoftwareHardware,QUOTE_InternetDownload),"Man ds env. ""Documents"", Clé ds bulle collée sur env.","Reliée au Man"))</f>
        <v>☐ Reliée au Man</v>
      </c>
      <c r="K233" s="265"/>
      <c r="L233" s="223"/>
      <c r="M233" s="439"/>
      <c r="N233" s="380"/>
      <c r="O233" s="307"/>
      <c r="P233" s="215"/>
      <c r="Q233" s="215"/>
    </row>
    <row r="234" spans="1:17" ht="16.25" customHeight="1" x14ac:dyDescent="0.2">
      <c r="A234" s="422"/>
      <c r="B234" s="297"/>
      <c r="C234" s="902" t="str">
        <f>IF((SCANOPY_N_UpgradeUpdate + SCANOPY_N_Software ) = 2,"",LEFT(INDEX(SCANOPY_SoftwareFullNames,SCANOPY_IndexSoftware),FIND(" ",INDEX(SCANOPY_SoftwareFullNames,SCANOPY_IndexSoftware),FIND(" ",INDEX(SCANOPY_SoftwareFullNames,SCANOPY_IndexSoftware))+1)) &amp;
SCANOPY_YearMostRecent )</f>
        <v/>
      </c>
      <c r="D234" s="902"/>
      <c r="E234" s="305"/>
      <c r="F234" s="305"/>
      <c r="G234" s="276" t="str">
        <f>IF(SCANOPY_OptionXL*(SCANOPY_N_Software+SCANOPY_N_UpgradeUpdate-2)&gt;=((ROW(G234)-ROW($G$219))/4+1),"XLSCANOPY "&amp; SCANOPY_YearMostRecent,IF(SCANOPY_Option1*(SCANOPY_N_Software-1)&gt;=((ROW(G234)-ROW($G$219))/4+1),"XLSCANOPY Mini "&amp; SCANOPY_YearMostRecent,""))</f>
        <v/>
      </c>
      <c r="H234" s="263"/>
      <c r="I234" s="263"/>
      <c r="J234" s="276" t="str">
        <f>IF(SCANOPY_N_System-1&gt;=((ROW(G234)-ROW($G$219))/4+1),IF(Francais,"Système","")&amp;IF(SCANOPY_IndexScanner=1," 24 MP DSLR"," 24 MP Mini Point&amp;Shoot")&amp;IF(Francais,""," System"),
IF(AND(SCANOPY_N_Software&gt;SCANOPY_N_System,SCANOPY_N_Software-1&gt;=((ROW(G234)-ROW($G$219))/4+1)),IF(N_SystemTotal=0,"Software Only",IF(N_STDScanners+N_LAScanners+N_LCScanners=0,"Software Sans Scanner","Software Avec Scanner")),
IF(SCANOPY_N_UpgradeUpdate-1&gt;=((ROW(G234)-ROW($G$219))/4+1)-(MAX(SCANOPY_N_System,SCANOPY_N_Software)-1),"Update","")))</f>
        <v/>
      </c>
      <c r="K234" s="263"/>
      <c r="L234" s="262"/>
      <c r="M234" s="262"/>
      <c r="N234" s="262"/>
      <c r="O234" s="215"/>
      <c r="P234" s="215"/>
      <c r="Q234" s="215"/>
    </row>
    <row r="235" spans="1:17" ht="24" customHeight="1" x14ac:dyDescent="0.2">
      <c r="A235" s="458" t="s">
        <v>258</v>
      </c>
      <c r="B235" s="287" t="s">
        <v>258</v>
      </c>
      <c r="C235" s="378" t="str">
        <f>IF(AND(QUOTE_Split_SoftwareHardware,QUOTE_InternetDownload),"",
"☐☐ Win" &amp;
IF(INT((ROW(D235)-10)/30)+1=1,"DEN","")&amp;
IF(INT((ROW(D235)-10)/30)+1=2,"CEL","")&amp;
IF(INT((ROW(D235)-10)/30)+1=3,"RHI","")&amp;
IF(INT((ROW(D235)-10)/30)+1=4,"RT","")&amp;
IF(INT((ROW(D235)-10)/30)+1=5,"FOL","")&amp;
IF(INT((ROW(D235)-10)/30)+1=6,"SEE","")&amp;
IF(INT((ROW(D235)-10)/30)+1=7,"CAM","")&amp;
IF(INT((ROW(D235)-10)/30)+1=8,"SCA","") &amp; ".exe")</f>
        <v>☐☐ WinSCA.exe</v>
      </c>
      <c r="D235" s="378" t="str">
        <f>IF(AND(QUOTE_Split_SoftwareHardware,QUOTE_InternetDownload),"",
 IF(N("If it is Cam, Do not Show XL")+AND(ROW(D235)&gt;=189,ROW(D235)&lt;=218),"","☐ XL" &amp;
IF(INT((ROW(D235)-10)/30)+1=1,"STEM","")&amp;
IF(INT((ROW(D235)-10)/30)+1=2,"Cell","")&amp;
IF(INT((ROW(D235)-10)/30)+1=3,"Rhizo","")&amp;
IF(INT((ROW(D235)-10)/30)+1=4,"RhizoT","")&amp;
IF(INT((ROW(D235)-10)/30)+1=5,"Folia","")&amp;
IF(INT((ROW(D235)-10)/30)+1=6,"Seedle","")&amp;
IF(INT((ROW(D235)-10)/30)+1=7,"Cam","")&amp;
IF(INT((ROW(D235)-10)/30)+1=8,"Scanopy","") &amp; ".xls"))</f>
        <v>☐ XLScanopy.xls</v>
      </c>
      <c r="E235" s="378" t="s">
        <v>299</v>
      </c>
      <c r="F235" s="379" t="s">
        <v>152</v>
      </c>
      <c r="G235" s="378" t="str">
        <f xml:space="preserve"> IF(N("If it is Cam, Do not Show XL")+AND(ROW(G235)&gt;=189,ROW(G235)&lt;=218),"","☐ XL Man")</f>
        <v>☐ XL Man</v>
      </c>
      <c r="H235" s="379" t="s">
        <v>280</v>
      </c>
      <c r="I235" s="307" t="s">
        <v>274</v>
      </c>
      <c r="J235" s="379" t="str">
        <f>IF(N("Si OR dessous = vrai, pas de box")+OR(
N("1 OR Tron ou CELL")+OR(AND(ROW(E235)&gt;=39,ROW(E235)&lt;=68),AND(ROW(E235)&gt;=99,ROW(E235)&lt;=128)),
N("2 Pas de système scanopy and range opy")+AND(ROW(E235)&gt;=219,ROW(E235)&lt;=248,SCANOPY_N_System&lt;2),
N("3 Avec LC") + IF(AND(IF(PROD_MostPopularScanner="LC",1,0), NOT(AND(ROW(E235)&gt;=129,ROW(E235)&lt;=158)), NOT(AND(ROW(E235)&gt;=189,ROW(E235)&lt;=218))),1,0)
),"","☐ ")
&amp;
IF(N("If it's OPY, put OMount Manual instead")+
AND(ROW(D235)&gt;=219,ROW(D235)&lt;=248),
IF(SCANOPY_N_System&gt;1,
IF(SCANOPY_IndexScanner=1,"α" &amp; SCANOPY_CameraModel,SCANOPY_CameraModel_Mini) &amp; " Man",""),
IF(N("Empty si OR = true . . .If it is Cell or Tron, Do not Show Scanner related items + Hide if LC is favorite on unavailable product")+OR(
AND(ROW(E235)&gt;=39,ROW(E235)&lt;=68),
AND(ROW(E235)&gt;=99,ROW(E235)&lt;=128),
AND(IF(PROD_MostPopularScanner="LC",1,0), NOT(AND(ROW(E235)&gt;=129,ROW(E235)&lt;=158)), NOT(AND(ROW(E235)&gt;=189,ROW(E235)&lt;=218))),
0=1),
    "", IF(1=N("Si système a un scanner différent du Scanner populaire alors différent, sinon Scanner populaire")+AND(NOT(ISERROR(SEARCH("System",J234))),LEFT(J234,2)&lt;&gt;LEFT(PROD_MostPopularScanner,2)),
LEFT(J234,SEARCH("00",J234)-3),
PROD_MostPopularScanner) &amp; " Install Man"))</f>
        <v/>
      </c>
      <c r="K235" s="378" t="str">
        <f>IF(N("If it is Cell or Tron or OPY, Do not Show Twain")+OR(AND(ROW(K235)&gt;=39,ROW(K235)&lt;=68),AND(ROW(K235)&gt;=99,ROW(K235)&lt;=128),AND(ROW(J235)&gt;=219,ROW(J235)&lt;=248)),"","☐ TWAIN")</f>
        <v/>
      </c>
      <c r="L235" s="379" t="str">
        <f>IF(AND(IF(PROD_MostPopularScanner="LC",1,0), NOT(AND(ROW(E235)&gt;=129,ROW(E235)&lt;=158)), NOT(AND(ROW(E235)&gt;=189,ROW(E235)&lt;=218))),"",
IF(N("Si OR dessous = vrai, pas de box")+OR(
N("1 OR Dendro+CELL, Tron+Folia,Cam")+OR(
AND(ROW(K235)&gt;=9,ROW(K235)&lt;=68),
AND(ROW(K235)&gt;=99,ROW(K235)&lt;=158),
AND(ROW(K235)&gt;=189,ROW(K235)&lt;=218)),
N("2 Pas de système scanopy and range opy")+AND(ROW(K235)&gt;=219,ROW(K235)&lt;=248,SCANOPY_N_System&lt;2),
N("3 Avec LC")&amp;IF(ISERROR(LEFT(J234,SEARCH("00",J234)-3)),"",LEFT(J234,SEARCH("00",J234)-3))="LC"),"","☐ ")
&amp;
IF(N("If it's OPY, put OMount Manual instead")+
AND(ROW(J235)&gt;=219,ROW(J235)&lt;=248),
IF(SCANOPY_N_System&gt;1,"OMount Man",""),
IF(N("If it is Dendro+CELL, Tron+Folia or Cam, Do not Show Scanner related items+No Video if LC")+OR(
AND(ROW(K235)&gt;=9,ROW(K235)&lt;=68),
AND(ROW(K235)&gt;=99,ROW(K235)&lt;=158),
AND(ROW(K235)&gt;=189,ROW(K235)&lt;=218),
IF(ISERROR(LEFT(J234,SEARCH("00",J234)-3)),"",LEFT(J234,SEARCH("00",J234)-3))="LC"),
    "", "Video " &amp; IF(1=N("Si système a un scanner différent du Scanner populaire alors différent, sinon Scanner populaire")+AND(NOT(ISERROR(SEARCH("System",J234))),LEFT(J234,2)&lt;&gt;LEFT(PROD_MostPopularScanner,2)),
LEFT(J234,SEARCH("00",J234)-3),
PROD_MostPopularScanner) &amp; " Install"))
)</f>
        <v/>
      </c>
      <c r="M235" s="378" t="str">
        <f>IF(N("If it is Dendro or Tron, Do not Show Color Analysis Video")+
OR(AND(ROW(L235)&gt;=9,ROW(L235)&lt;=38),
AND(ROW(L235)&gt;=99,ROW(L235)&lt;=128)), "","☐ Video ClrAna")</f>
        <v>☐ Video ClrAna</v>
      </c>
      <c r="N235" s="379" t="str">
        <f>IF(OR(INT((ROW(D235)-10)/30)+1=2,INT((ROW(D235)-10)/30)+1=4),"","☐ ")&amp;
IF(INT((ROW(D235)-10)/30)+1=1,"Scanner.cal","")&amp;
IF(INT((ROW(D235)-10)/30)+1=2,"","")&amp;
IF(INT((ROW(D235)-10)/30)+1=3,"Scanner.cal","")&amp;
IF(INT((ROW(D235)-10)/30)+1=4,"","")&amp;
IF(INT((ROW(D235)-10)/30)+1=5,"Scanner.cal","")&amp;
IF(INT((ROW(D235)-10)/30)+1=6,"Scanner.cal","")&amp;
IF(INT((ROW(D235)-10)/30)+1=7,"Scanner.cal","")&amp;
IF(INT((ROW(D235)-10)/30)+1=8,"Indiv" &amp; " Lens.cal","")</f>
        <v>☐ Indiv Lens.cal</v>
      </c>
      <c r="O235" s="307" t="str">
        <f>IF(AND(ROW(L235)&gt;=9,ROW(L235)&lt;=38),"☐ RegentTarget.blu","")</f>
        <v/>
      </c>
      <c r="P235" s="215"/>
      <c r="Q235" s="215"/>
    </row>
    <row r="236" spans="1:17" ht="24" customHeight="1" x14ac:dyDescent="0.2">
      <c r="A236" s="458" t="s">
        <v>259</v>
      </c>
      <c r="B236" s="224" t="s">
        <v>259</v>
      </c>
      <c r="C236" s="307" t="s">
        <v>152</v>
      </c>
      <c r="D236" s="307" t="str">
        <f xml:space="preserve"> IF(N("If it is Cam, Do not Show XL")+AND(ROW(D236)&gt;=189,ROW(D236)&lt;=218),"","☐ XL Man")</f>
        <v>☐ XL Man</v>
      </c>
      <c r="E236" s="437" t="str">
        <f>IF(N("Si OR dessous = vrai, pas de box")+OR(
N("1 OR Tron ou CELL")+OR(AND(ROW(K235)&gt;=39,ROW(K235)&lt;=68),AND(ROW(K235)&gt;=99,ROW(K235)&lt;=128)),
N("2 Pas de système scanopy and range opy")+AND(ROW(K235)&gt;=219,ROW(K235)&lt;=248,SCANOPY_N_System&lt;2),
N("3 Avec LC")&amp;IF(ISERROR(LEFT(J234,SEARCH("00",J234)-3)),"",LEFT(J234,SEARCH("00",J234)-3))="LC"),"","☐ ")
&amp;
IF(N("If it's OPY, put OMount Manual instead")+
AND(ROW(J235)&gt;=219,ROW(J235)&lt;=248),
IF(SCANOPY_N_System&gt;1,"OMount Man",""),
IF(N("If it is Cell or Tron, Do not Show Scanner related items")+OR(
AND(ROW(K235)&gt;=39,ROW(K235)&lt;=68),
AND(ROW(K235)&gt;=99,ROW(K235)&lt;=128)),
    "", IF(1=N("Si système a un scanner différent du Scanner populaire alors différent, sinon Scanner populaire")+AND(NOT(ISERROR(SEARCH("System",J234))),LEFT(J234,2)&lt;&gt;LEFT(PROD_MostPopularScanner,2)),
LEFT(J234,SEARCH("00",J234)-3),
PROD_MostPopularScanner) &amp; " Install Man"))</f>
        <v/>
      </c>
      <c r="F236" s="380" t="s">
        <v>275</v>
      </c>
      <c r="G236" s="307" t="s">
        <v>274</v>
      </c>
      <c r="H236" s="439" t="s">
        <v>250</v>
      </c>
      <c r="I236" s="381"/>
      <c r="J236" s="307" t="str">
        <f ca="1">IF(AND(
INDIRECT(
IF(INT((ROW(D236)-10)/30)+1=1,"DENDRO","")&amp;
IF(INT((ROW(D236)-10)/30)+1=2,"CELL","")&amp;
IF(INT((ROW(D236)-10)/30)+1=3,"RHIZO","")&amp;
IF(INT((ROW(D236)-10)/30)+1=4,"RHIZOTRON","")&amp;
IF(INT((ROW(D236)-10)/30)+1=5,"FOLIA","")&amp;
IF(INT((ROW(D236)-10)/30)+1=6,"SEEDLE","")&amp;
IF(INT((ROW(D236)-10)/30)+1=7,"CAM","")&amp;
IF(INT((ROW(D236)-10)/30)+1=8,"SCANOPY","") &amp; "_ChkB_RemoteUpdate"),
INDIRECT(
IF(INT((ROW(D236)-10)/30)+1=1,"DENDRO","")&amp;
IF(INT((ROW(D236)-10)/30)+1=2,"CELL","")&amp;
IF(INT((ROW(D236)-10)/30)+1=3,"RHIZO","")&amp;
IF(INT((ROW(D236)-10)/30)+1=4,"RHIZOTRON","")&amp;
IF(INT((ROW(D236)-10)/30)+1=5,"FOLIA","")&amp;
IF(INT((ROW(D236)-10)/30)+1=6,"SEEDLE","")&amp;
IF(INT((ROW(D236)-10)/30)+1=7,"CAM","")&amp;
IF(INT((ROW(D236)-10)/30)+1=8,"SCANOPY","") &amp; "_ChkBox_UpgradeUpdate")),
"Clé de bois ou Download. Reprogrammation clé client",
"☐ " &amp; IF(AND(QUOTE_Split_SoftwareHardware,QUOTE_InternetDownload),"Man ds env. ""Documents"", Clé ds bulle collée sur env.","Reliée au Man"))</f>
        <v>☐ Reliée au Man</v>
      </c>
      <c r="K236" s="265"/>
      <c r="L236" s="223"/>
      <c r="M236" s="439"/>
      <c r="N236" s="380"/>
      <c r="O236" s="307"/>
      <c r="P236" s="215"/>
      <c r="Q236" s="215"/>
    </row>
    <row r="237" spans="1:17" ht="16.25" customHeight="1" x14ac:dyDescent="0.2">
      <c r="A237" s="422"/>
      <c r="B237" s="297"/>
      <c r="C237" s="902" t="str">
        <f>IF((SCANOPY_N_UpgradeUpdate + SCANOPY_N_Software ) = 2,"",LEFT(INDEX(SCANOPY_SoftwareFullNames,SCANOPY_IndexSoftware),FIND(" ",INDEX(SCANOPY_SoftwareFullNames,SCANOPY_IndexSoftware),FIND(" ",INDEX(SCANOPY_SoftwareFullNames,SCANOPY_IndexSoftware))+1)) &amp;
SCANOPY_YearMostRecent )</f>
        <v/>
      </c>
      <c r="D237" s="902"/>
      <c r="E237" s="305"/>
      <c r="F237" s="305"/>
      <c r="G237" s="276" t="str">
        <f>IF(SCANOPY_OptionXL*(SCANOPY_N_Software+SCANOPY_N_UpgradeUpdate-2)&gt;=((ROW(G237)-ROW($G$219))/4+1),"XLSCANOPY "&amp; SCANOPY_YearMostRecent,IF(SCANOPY_Option1*(SCANOPY_N_Software-1)&gt;=((ROW(G237)-ROW($G$219))/4+1),"XLSCANOPY Mini "&amp; SCANOPY_YearMostRecent,""))</f>
        <v/>
      </c>
      <c r="H237" s="263"/>
      <c r="I237" s="263"/>
      <c r="J237" s="276" t="str">
        <f>IF(SCANOPY_N_System-1&gt;=((ROW(G237)-ROW($G$219))/4+1),IF(Francais,"Système","")&amp;IF(SCANOPY_IndexScanner=1," 24 MP DSLR"," 24 MP Mini Point&amp;Shoot")&amp;IF(Francais,""," System"),
IF(AND(SCANOPY_N_Software&gt;SCANOPY_N_System,SCANOPY_N_Software-1&gt;=((ROW(G237)-ROW($G$219))/4+1)),IF(N_SystemTotal=0,"Software Only",IF(N_STDScanners+N_LAScanners+N_LCScanners=0,"Software Sans Scanner","Software Avec Scanner")),
IF(SCANOPY_N_UpgradeUpdate-1&gt;=((ROW(G237)-ROW($G$219))/4+1)-(MAX(SCANOPY_N_System,SCANOPY_N_Software)-1),"Update","")))</f>
        <v/>
      </c>
      <c r="K237" s="263"/>
      <c r="L237" s="262"/>
      <c r="M237" s="262"/>
      <c r="N237" s="262"/>
      <c r="O237" s="215"/>
      <c r="P237" s="215"/>
      <c r="Q237" s="215"/>
    </row>
    <row r="238" spans="1:17" ht="24" customHeight="1" x14ac:dyDescent="0.2">
      <c r="A238" s="458" t="s">
        <v>258</v>
      </c>
      <c r="B238" s="287" t="s">
        <v>258</v>
      </c>
      <c r="C238" s="378" t="str">
        <f>IF(AND(QUOTE_Split_SoftwareHardware,QUOTE_InternetDownload),"",
"☐☐ Win" &amp;
IF(INT((ROW(D238)-10)/30)+1=1,"DEN","")&amp;
IF(INT((ROW(D238)-10)/30)+1=2,"CEL","")&amp;
IF(INT((ROW(D238)-10)/30)+1=3,"RHI","")&amp;
IF(INT((ROW(D238)-10)/30)+1=4,"RT","")&amp;
IF(INT((ROW(D238)-10)/30)+1=5,"FOL","")&amp;
IF(INT((ROW(D238)-10)/30)+1=6,"SEE","")&amp;
IF(INT((ROW(D238)-10)/30)+1=7,"CAM","")&amp;
IF(INT((ROW(D238)-10)/30)+1=8,"SCA","") &amp; ".exe")</f>
        <v>☐☐ WinSCA.exe</v>
      </c>
      <c r="D238" s="378" t="str">
        <f>IF(AND(QUOTE_Split_SoftwareHardware,QUOTE_InternetDownload),"",
 IF(N("If it is Cam, Do not Show XL")+AND(ROW(D238)&gt;=189,ROW(D238)&lt;=218),"","☐ XL" &amp;
IF(INT((ROW(D238)-10)/30)+1=1,"STEM","")&amp;
IF(INT((ROW(D238)-10)/30)+1=2,"Cell","")&amp;
IF(INT((ROW(D238)-10)/30)+1=3,"Rhizo","")&amp;
IF(INT((ROW(D238)-10)/30)+1=4,"RhizoT","")&amp;
IF(INT((ROW(D238)-10)/30)+1=5,"Folia","")&amp;
IF(INT((ROW(D238)-10)/30)+1=6,"Seedle","")&amp;
IF(INT((ROW(D238)-10)/30)+1=7,"Cam","")&amp;
IF(INT((ROW(D238)-10)/30)+1=8,"Scanopy","") &amp; ".xls"))</f>
        <v>☐ XLScanopy.xls</v>
      </c>
      <c r="E238" s="378" t="s">
        <v>299</v>
      </c>
      <c r="F238" s="379" t="s">
        <v>152</v>
      </c>
      <c r="G238" s="378" t="str">
        <f xml:space="preserve"> IF(N("If it is Cam, Do not Show XL")+AND(ROW(G238)&gt;=189,ROW(G238)&lt;=218),"","☐ XL Man")</f>
        <v>☐ XL Man</v>
      </c>
      <c r="H238" s="379" t="s">
        <v>280</v>
      </c>
      <c r="I238" s="307" t="s">
        <v>274</v>
      </c>
      <c r="J238" s="379" t="str">
        <f>IF(N("Si OR dessous = vrai, pas de box")+OR(
N("1 OR Tron ou CELL")+OR(AND(ROW(E238)&gt;=39,ROW(E238)&lt;=68),AND(ROW(E238)&gt;=99,ROW(E238)&lt;=128)),
N("2 Pas de système scanopy and range opy")+AND(ROW(E238)&gt;=219,ROW(E238)&lt;=248,SCANOPY_N_System&lt;2),
N("3 Avec LC") + IF(AND(IF(PROD_MostPopularScanner="LC",1,0), NOT(AND(ROW(E238)&gt;=129,ROW(E238)&lt;=158)), NOT(AND(ROW(E238)&gt;=189,ROW(E238)&lt;=218))),1,0)
),"","☐ ")
&amp;
IF(N("If it's OPY, put OMount Manual instead")+
AND(ROW(D238)&gt;=219,ROW(D238)&lt;=248),
IF(SCANOPY_N_System&gt;1,
IF(SCANOPY_IndexScanner=1,"α" &amp; SCANOPY_CameraModel,SCANOPY_CameraModel_Mini) &amp; " Man",""),
IF(N("Empty si OR = true . . .If it is Cell or Tron, Do not Show Scanner related items + Hide if LC is favorite on unavailable product")+OR(
AND(ROW(E238)&gt;=39,ROW(E238)&lt;=68),
AND(ROW(E238)&gt;=99,ROW(E238)&lt;=128),
AND(IF(PROD_MostPopularScanner="LC",1,0), NOT(AND(ROW(E238)&gt;=129,ROW(E238)&lt;=158)), NOT(AND(ROW(E238)&gt;=189,ROW(E238)&lt;=218))),
0=1),
    "", IF(1=N("Si système a un scanner différent du Scanner populaire alors différent, sinon Scanner populaire")+AND(NOT(ISERROR(SEARCH("System",J237))),LEFT(J237,2)&lt;&gt;LEFT(PROD_MostPopularScanner,2)),
LEFT(J237,SEARCH("00",J237)-3),
PROD_MostPopularScanner) &amp; " Install Man"))</f>
        <v/>
      </c>
      <c r="K238" s="378" t="str">
        <f>IF(N("If it is Cell or Tron or OPY, Do not Show Twain")+OR(AND(ROW(K238)&gt;=39,ROW(K238)&lt;=68),AND(ROW(K238)&gt;=99,ROW(K238)&lt;=128),AND(ROW(J238)&gt;=219,ROW(J238)&lt;=248)),"","☐ TWAIN")</f>
        <v/>
      </c>
      <c r="L238" s="379" t="str">
        <f>IF(AND(IF(PROD_MostPopularScanner="LC",1,0), NOT(AND(ROW(E238)&gt;=129,ROW(E238)&lt;=158)), NOT(AND(ROW(E238)&gt;=189,ROW(E238)&lt;=218))),"",
IF(N("Si OR dessous = vrai, pas de box")+OR(
N("1 OR Dendro+CELL, Tron+Folia,Cam")+OR(
AND(ROW(K238)&gt;=9,ROW(K238)&lt;=68),
AND(ROW(K238)&gt;=99,ROW(K238)&lt;=158),
AND(ROW(K238)&gt;=189,ROW(K238)&lt;=218)),
N("2 Pas de système scanopy and range opy")+AND(ROW(K238)&gt;=219,ROW(K238)&lt;=248,SCANOPY_N_System&lt;2),
N("3 Avec LC")&amp;IF(ISERROR(LEFT(J237,SEARCH("00",J237)-3)),"",LEFT(J237,SEARCH("00",J237)-3))="LC"),"","☐ ")
&amp;
IF(N("If it's OPY, put OMount Manual instead")+
AND(ROW(J238)&gt;=219,ROW(J238)&lt;=248),
IF(SCANOPY_N_System&gt;1,"OMount Man",""),
IF(N("If it is Dendro+CELL, Tron+Folia or Cam, Do not Show Scanner related items+No Video if LC")+OR(
AND(ROW(K238)&gt;=9,ROW(K238)&lt;=68),
AND(ROW(K238)&gt;=99,ROW(K238)&lt;=158),
AND(ROW(K238)&gt;=189,ROW(K238)&lt;=218),
IF(ISERROR(LEFT(J237,SEARCH("00",J237)-3)),"",LEFT(J237,SEARCH("00",J237)-3))="LC"),
    "", "Video " &amp; IF(1=N("Si système a un scanner différent du Scanner populaire alors différent, sinon Scanner populaire")+AND(NOT(ISERROR(SEARCH("System",J237))),LEFT(J237,2)&lt;&gt;LEFT(PROD_MostPopularScanner,2)),
LEFT(J237,SEARCH("00",J237)-3),
PROD_MostPopularScanner) &amp; " Install"))
)</f>
        <v/>
      </c>
      <c r="M238" s="378" t="str">
        <f>IF(N("If it is Dendro or Tron, Do not Show Color Analysis Video")+
OR(AND(ROW(L238)&gt;=9,ROW(L238)&lt;=38),
AND(ROW(L238)&gt;=99,ROW(L238)&lt;=128)), "","☐ Video ClrAna")</f>
        <v>☐ Video ClrAna</v>
      </c>
      <c r="N238" s="379" t="str">
        <f>IF(OR(INT((ROW(D238)-10)/30)+1=2,INT((ROW(D238)-10)/30)+1=4),"","☐ ")&amp;
IF(INT((ROW(D238)-10)/30)+1=1,"Scanner.cal","")&amp;
IF(INT((ROW(D238)-10)/30)+1=2,"","")&amp;
IF(INT((ROW(D238)-10)/30)+1=3,"Scanner.cal","")&amp;
IF(INT((ROW(D238)-10)/30)+1=4,"","")&amp;
IF(INT((ROW(D238)-10)/30)+1=5,"Scanner.cal","")&amp;
IF(INT((ROW(D238)-10)/30)+1=6,"Scanner.cal","")&amp;
IF(INT((ROW(D238)-10)/30)+1=7,"Scanner.cal","")&amp;
IF(INT((ROW(D238)-10)/30)+1=8,"Indiv" &amp; " Lens.cal","")</f>
        <v>☐ Indiv Lens.cal</v>
      </c>
      <c r="O238" s="307" t="str">
        <f>IF(AND(ROW(L238)&gt;=9,ROW(L238)&lt;=38),"☐ RegentTarget.blu","")</f>
        <v/>
      </c>
      <c r="P238" s="215"/>
      <c r="Q238" s="215"/>
    </row>
    <row r="239" spans="1:17" ht="24" customHeight="1" x14ac:dyDescent="0.2">
      <c r="A239" s="458" t="s">
        <v>259</v>
      </c>
      <c r="B239" s="224" t="s">
        <v>259</v>
      </c>
      <c r="C239" s="307" t="s">
        <v>152</v>
      </c>
      <c r="D239" s="307" t="str">
        <f xml:space="preserve"> IF(N("If it is Cam, Do not Show XL")+AND(ROW(D239)&gt;=189,ROW(D239)&lt;=218),"","☐ XL Man")</f>
        <v>☐ XL Man</v>
      </c>
      <c r="E239" s="437" t="str">
        <f>IF(N("Si OR dessous = vrai, pas de box")+OR(
N("1 OR Tron ou CELL")+OR(AND(ROW(K238)&gt;=39,ROW(K238)&lt;=68),AND(ROW(K238)&gt;=99,ROW(K238)&lt;=128)),
N("2 Pas de système scanopy and range opy")+AND(ROW(K238)&gt;=219,ROW(K238)&lt;=248,SCANOPY_N_System&lt;2),
N("3 Avec LC")&amp;IF(ISERROR(LEFT(J237,SEARCH("00",J237)-3)),"",LEFT(J237,SEARCH("00",J237)-3))="LC"),"","☐ ")
&amp;
IF(N("If it's OPY, put OMount Manual instead")+
AND(ROW(J238)&gt;=219,ROW(J238)&lt;=248),
IF(SCANOPY_N_System&gt;1,"OMount Man",""),
IF(N("If it is Cell or Tron, Do not Show Scanner related items")+OR(
AND(ROW(K238)&gt;=39,ROW(K238)&lt;=68),
AND(ROW(K238)&gt;=99,ROW(K238)&lt;=128)),
    "", IF(1=N("Si système a un scanner différent du Scanner populaire alors différent, sinon Scanner populaire")+AND(NOT(ISERROR(SEARCH("System",J237))),LEFT(J237,2)&lt;&gt;LEFT(PROD_MostPopularScanner,2)),
LEFT(J237,SEARCH("00",J237)-3),
PROD_MostPopularScanner) &amp; " Install Man"))</f>
        <v/>
      </c>
      <c r="F239" s="380" t="s">
        <v>275</v>
      </c>
      <c r="G239" s="307" t="s">
        <v>274</v>
      </c>
      <c r="H239" s="439" t="s">
        <v>250</v>
      </c>
      <c r="I239" s="381"/>
      <c r="J239" s="307" t="str">
        <f ca="1">IF(AND(
INDIRECT(
IF(INT((ROW(D239)-10)/30)+1=1,"DENDRO","")&amp;
IF(INT((ROW(D239)-10)/30)+1=2,"CELL","")&amp;
IF(INT((ROW(D239)-10)/30)+1=3,"RHIZO","")&amp;
IF(INT((ROW(D239)-10)/30)+1=4,"RHIZOTRON","")&amp;
IF(INT((ROW(D239)-10)/30)+1=5,"FOLIA","")&amp;
IF(INT((ROW(D239)-10)/30)+1=6,"SEEDLE","")&amp;
IF(INT((ROW(D239)-10)/30)+1=7,"CAM","")&amp;
IF(INT((ROW(D239)-10)/30)+1=8,"SCANOPY","") &amp; "_ChkB_RemoteUpdate"),
INDIRECT(
IF(INT((ROW(D239)-10)/30)+1=1,"DENDRO","")&amp;
IF(INT((ROW(D239)-10)/30)+1=2,"CELL","")&amp;
IF(INT((ROW(D239)-10)/30)+1=3,"RHIZO","")&amp;
IF(INT((ROW(D239)-10)/30)+1=4,"RHIZOTRON","")&amp;
IF(INT((ROW(D239)-10)/30)+1=5,"FOLIA","")&amp;
IF(INT((ROW(D239)-10)/30)+1=6,"SEEDLE","")&amp;
IF(INT((ROW(D239)-10)/30)+1=7,"CAM","")&amp;
IF(INT((ROW(D239)-10)/30)+1=8,"SCANOPY","") &amp; "_ChkBox_UpgradeUpdate")),
"Clé de bois ou Download. Reprogrammation clé client",
"☐ " &amp; IF(AND(QUOTE_Split_SoftwareHardware,QUOTE_InternetDownload),"Man ds env. ""Documents"", Clé ds bulle collée sur env.","Reliée au Man"))</f>
        <v>☐ Reliée au Man</v>
      </c>
      <c r="K239" s="265"/>
      <c r="L239" s="223"/>
      <c r="M239" s="439"/>
      <c r="N239" s="380"/>
      <c r="O239" s="307"/>
      <c r="P239" s="215"/>
      <c r="Q239" s="215"/>
    </row>
    <row r="240" spans="1:17" ht="16.25" customHeight="1" x14ac:dyDescent="0.2">
      <c r="A240" s="422"/>
      <c r="B240" s="297"/>
      <c r="C240" s="902" t="str">
        <f>IF((SCANOPY_N_UpgradeUpdate + SCANOPY_N_Software ) = 2,"",LEFT(INDEX(SCANOPY_SoftwareFullNames,SCANOPY_IndexSoftware),FIND(" ",INDEX(SCANOPY_SoftwareFullNames,SCANOPY_IndexSoftware),FIND(" ",INDEX(SCANOPY_SoftwareFullNames,SCANOPY_IndexSoftware))+1)) &amp;
SCANOPY_YearMostRecent )</f>
        <v/>
      </c>
      <c r="D240" s="902"/>
      <c r="E240" s="305"/>
      <c r="F240" s="305"/>
      <c r="G240" s="276" t="str">
        <f>IF(SCANOPY_OptionXL*(SCANOPY_N_Software+SCANOPY_N_UpgradeUpdate-2)&gt;=((ROW(G240)-ROW($G$219))/4+1),"XLSCANOPY "&amp; SCANOPY_YearMostRecent,IF(SCANOPY_Option1*(SCANOPY_N_Software-1)&gt;=((ROW(G240)-ROW($G$219))/4+1),"XLSCANOPY Mini "&amp; SCANOPY_YearMostRecent,""))</f>
        <v/>
      </c>
      <c r="H240" s="263"/>
      <c r="I240" s="263"/>
      <c r="J240" s="276" t="str">
        <f>IF(SCANOPY_N_System-1&gt;=((ROW(G240)-ROW($G$219))/4+1),IF(Francais,"Système","")&amp;IF(SCANOPY_IndexScanner=1," 24 MP DSLR"," 24 MP Mini Point&amp;Shoot")&amp;IF(Francais,""," System"),
IF(AND(SCANOPY_N_Software&gt;SCANOPY_N_System,SCANOPY_N_Software-1&gt;=((ROW(G240)-ROW($G$219))/4+1)),IF(N_SystemTotal=0,"Software Only",IF(N_STDScanners+N_LAScanners+N_LCScanners=0,"Software Sans Scanner","Software Avec Scanner")),
IF(SCANOPY_N_UpgradeUpdate-1&gt;=((ROW(G240)-ROW($G$219))/4+1)-(MAX(SCANOPY_N_System,SCANOPY_N_Software)-1),"Update","")))</f>
        <v/>
      </c>
      <c r="K240" s="263"/>
      <c r="L240" s="262"/>
      <c r="M240" s="262"/>
      <c r="N240" s="262"/>
      <c r="O240" s="215"/>
      <c r="P240" s="215"/>
      <c r="Q240" s="215"/>
    </row>
    <row r="241" spans="1:17" ht="24" customHeight="1" x14ac:dyDescent="0.2">
      <c r="A241" s="458" t="s">
        <v>258</v>
      </c>
      <c r="B241" s="287" t="s">
        <v>258</v>
      </c>
      <c r="C241" s="378" t="str">
        <f>IF(AND(QUOTE_Split_SoftwareHardware,QUOTE_InternetDownload),"",
"☐☐ Win" &amp;
IF(INT((ROW(D241)-10)/30)+1=1,"DEN","")&amp;
IF(INT((ROW(D241)-10)/30)+1=2,"CEL","")&amp;
IF(INT((ROW(D241)-10)/30)+1=3,"RHI","")&amp;
IF(INT((ROW(D241)-10)/30)+1=4,"RT","")&amp;
IF(INT((ROW(D241)-10)/30)+1=5,"FOL","")&amp;
IF(INT((ROW(D241)-10)/30)+1=6,"SEE","")&amp;
IF(INT((ROW(D241)-10)/30)+1=7,"CAM","")&amp;
IF(INT((ROW(D241)-10)/30)+1=8,"SCA","") &amp; ".exe")</f>
        <v>☐☐ WinSCA.exe</v>
      </c>
      <c r="D241" s="378" t="str">
        <f>IF(AND(QUOTE_Split_SoftwareHardware,QUOTE_InternetDownload),"",
 IF(N("If it is Cam, Do not Show XL")+AND(ROW(D241)&gt;=189,ROW(D241)&lt;=218),"","☐ XL" &amp;
IF(INT((ROW(D241)-10)/30)+1=1,"STEM","")&amp;
IF(INT((ROW(D241)-10)/30)+1=2,"Cell","")&amp;
IF(INT((ROW(D241)-10)/30)+1=3,"Rhizo","")&amp;
IF(INT((ROW(D241)-10)/30)+1=4,"RhizoT","")&amp;
IF(INT((ROW(D241)-10)/30)+1=5,"Folia","")&amp;
IF(INT((ROW(D241)-10)/30)+1=6,"Seedle","")&amp;
IF(INT((ROW(D241)-10)/30)+1=7,"Cam","")&amp;
IF(INT((ROW(D241)-10)/30)+1=8,"Scanopy","") &amp; ".xls"))</f>
        <v>☐ XLScanopy.xls</v>
      </c>
      <c r="E241" s="378" t="s">
        <v>299</v>
      </c>
      <c r="F241" s="379" t="s">
        <v>152</v>
      </c>
      <c r="G241" s="378" t="str">
        <f xml:space="preserve"> IF(N("If it is Cam, Do not Show XL")+AND(ROW(G241)&gt;=189,ROW(G241)&lt;=218),"","☐ XL Man")</f>
        <v>☐ XL Man</v>
      </c>
      <c r="H241" s="379" t="s">
        <v>280</v>
      </c>
      <c r="I241" s="307" t="s">
        <v>274</v>
      </c>
      <c r="J241" s="379" t="str">
        <f>IF(N("Si OR dessous = vrai, pas de box")+OR(
N("1 OR Tron ou CELL")+OR(AND(ROW(E241)&gt;=39,ROW(E241)&lt;=68),AND(ROW(E241)&gt;=99,ROW(E241)&lt;=128)),
N("2 Pas de système scanopy and range opy")+AND(ROW(E241)&gt;=219,ROW(E241)&lt;=248,SCANOPY_N_System&lt;2),
N("3 Avec LC") + IF(AND(IF(PROD_MostPopularScanner="LC",1,0), NOT(AND(ROW(E241)&gt;=129,ROW(E241)&lt;=158)), NOT(AND(ROW(E241)&gt;=189,ROW(E241)&lt;=218))),1,0)
),"","☐ ")
&amp;
IF(N("If it's OPY, put OMount Manual instead")+
AND(ROW(D241)&gt;=219,ROW(D241)&lt;=248),
IF(SCANOPY_N_System&gt;1,
IF(SCANOPY_IndexScanner=1,"α" &amp; SCANOPY_CameraModel,SCANOPY_CameraModel_Mini) &amp; " Man",""),
IF(N("Empty si OR = true . . .If it is Cell or Tron, Do not Show Scanner related items + Hide if LC is favorite on unavailable product")+OR(
AND(ROW(E241)&gt;=39,ROW(E241)&lt;=68),
AND(ROW(E241)&gt;=99,ROW(E241)&lt;=128),
AND(IF(PROD_MostPopularScanner="LC",1,0), NOT(AND(ROW(E241)&gt;=129,ROW(E241)&lt;=158)), NOT(AND(ROW(E241)&gt;=189,ROW(E241)&lt;=218))),
0=1),
    "", IF(1=N("Si système a un scanner différent du Scanner populaire alors différent, sinon Scanner populaire")+AND(NOT(ISERROR(SEARCH("System",J240))),LEFT(J240,2)&lt;&gt;LEFT(PROD_MostPopularScanner,2)),
LEFT(J240,SEARCH("00",J240)-3),
PROD_MostPopularScanner) &amp; " Install Man"))</f>
        <v/>
      </c>
      <c r="K241" s="378" t="str">
        <f>IF(N("If it is Cell or Tron or OPY, Do not Show Twain")+OR(AND(ROW(K241)&gt;=39,ROW(K241)&lt;=68),AND(ROW(K241)&gt;=99,ROW(K241)&lt;=128),AND(ROW(J241)&gt;=219,ROW(J241)&lt;=248)),"","☐ TWAIN")</f>
        <v/>
      </c>
      <c r="L241" s="379" t="str">
        <f>IF(AND(IF(PROD_MostPopularScanner="LC",1,0), NOT(AND(ROW(E241)&gt;=129,ROW(E241)&lt;=158)), NOT(AND(ROW(E241)&gt;=189,ROW(E241)&lt;=218))),"",
IF(N("Si OR dessous = vrai, pas de box")+OR(
N("1 OR Dendro+CELL, Tron+Folia,Cam")+OR(
AND(ROW(K241)&gt;=9,ROW(K241)&lt;=68),
AND(ROW(K241)&gt;=99,ROW(K241)&lt;=158),
AND(ROW(K241)&gt;=189,ROW(K241)&lt;=218)),
N("2 Pas de système scanopy and range opy")+AND(ROW(K241)&gt;=219,ROW(K241)&lt;=248,SCANOPY_N_System&lt;2),
N("3 Avec LC")&amp;IF(ISERROR(LEFT(J240,SEARCH("00",J240)-3)),"",LEFT(J240,SEARCH("00",J240)-3))="LC"),"","☐ ")
&amp;
IF(N("If it's OPY, put OMount Manual instead")+
AND(ROW(J241)&gt;=219,ROW(J241)&lt;=248),
IF(SCANOPY_N_System&gt;1,"OMount Man",""),
IF(N("If it is Dendro+CELL, Tron+Folia or Cam, Do not Show Scanner related items+No Video if LC")+OR(
AND(ROW(K241)&gt;=9,ROW(K241)&lt;=68),
AND(ROW(K241)&gt;=99,ROW(K241)&lt;=158),
AND(ROW(K241)&gt;=189,ROW(K241)&lt;=218),
IF(ISERROR(LEFT(J240,SEARCH("00",J240)-3)),"",LEFT(J240,SEARCH("00",J240)-3))="LC"),
    "", "Video " &amp; IF(1=N("Si système a un scanner différent du Scanner populaire alors différent, sinon Scanner populaire")+AND(NOT(ISERROR(SEARCH("System",J240))),LEFT(J240,2)&lt;&gt;LEFT(PROD_MostPopularScanner,2)),
LEFT(J240,SEARCH("00",J240)-3),
PROD_MostPopularScanner) &amp; " Install"))
)</f>
        <v/>
      </c>
      <c r="M241" s="378" t="str">
        <f>IF(N("If it is Dendro or Tron, Do not Show Color Analysis Video")+
OR(AND(ROW(L241)&gt;=9,ROW(L241)&lt;=38),
AND(ROW(L241)&gt;=99,ROW(L241)&lt;=128)), "","☐ Video ClrAna")</f>
        <v>☐ Video ClrAna</v>
      </c>
      <c r="N241" s="379" t="str">
        <f>IF(OR(INT((ROW(D241)-10)/30)+1=2,INT((ROW(D241)-10)/30)+1=4),"","☐ ")&amp;
IF(INT((ROW(D241)-10)/30)+1=1,"Scanner.cal","")&amp;
IF(INT((ROW(D241)-10)/30)+1=2,"","")&amp;
IF(INT((ROW(D241)-10)/30)+1=3,"Scanner.cal","")&amp;
IF(INT((ROW(D241)-10)/30)+1=4,"","")&amp;
IF(INT((ROW(D241)-10)/30)+1=5,"Scanner.cal","")&amp;
IF(INT((ROW(D241)-10)/30)+1=6,"Scanner.cal","")&amp;
IF(INT((ROW(D241)-10)/30)+1=7,"Scanner.cal","")&amp;
IF(INT((ROW(D241)-10)/30)+1=8,"Indiv" &amp; " Lens.cal","")</f>
        <v>☐ Indiv Lens.cal</v>
      </c>
      <c r="O241" s="307" t="str">
        <f>IF(AND(ROW(L241)&gt;=9,ROW(L241)&lt;=38),"☐ RegentTarget.blu","")</f>
        <v/>
      </c>
      <c r="P241" s="215"/>
      <c r="Q241" s="215"/>
    </row>
    <row r="242" spans="1:17" ht="24" customHeight="1" x14ac:dyDescent="0.2">
      <c r="A242" s="458" t="s">
        <v>259</v>
      </c>
      <c r="B242" s="224" t="s">
        <v>259</v>
      </c>
      <c r="C242" s="307" t="s">
        <v>152</v>
      </c>
      <c r="D242" s="307" t="str">
        <f xml:space="preserve"> IF(N("If it is Cam, Do not Show XL")+AND(ROW(D242)&gt;=189,ROW(D242)&lt;=218),"","☐ XL Man")</f>
        <v>☐ XL Man</v>
      </c>
      <c r="E242" s="437" t="str">
        <f>IF(N("Si OR dessous = vrai, pas de box")+OR(
N("1 OR Tron ou CELL")+OR(AND(ROW(K241)&gt;=39,ROW(K241)&lt;=68),AND(ROW(K241)&gt;=99,ROW(K241)&lt;=128)),
N("2 Pas de système scanopy and range opy")+AND(ROW(K241)&gt;=219,ROW(K241)&lt;=248,SCANOPY_N_System&lt;2),
N("3 Avec LC")&amp;IF(ISERROR(LEFT(J240,SEARCH("00",J240)-3)),"",LEFT(J240,SEARCH("00",J240)-3))="LC"),"","☐ ")
&amp;
IF(N("If it's OPY, put OMount Manual instead")+
AND(ROW(J241)&gt;=219,ROW(J241)&lt;=248),
IF(SCANOPY_N_System&gt;1,"OMount Man",""),
IF(N("If it is Cell or Tron, Do not Show Scanner related items")+OR(
AND(ROW(K241)&gt;=39,ROW(K241)&lt;=68),
AND(ROW(K241)&gt;=99,ROW(K241)&lt;=128)),
    "", IF(1=N("Si système a un scanner différent du Scanner populaire alors différent, sinon Scanner populaire")+AND(NOT(ISERROR(SEARCH("System",J240))),LEFT(J240,2)&lt;&gt;LEFT(PROD_MostPopularScanner,2)),
LEFT(J240,SEARCH("00",J240)-3),
PROD_MostPopularScanner) &amp; " Install Man"))</f>
        <v/>
      </c>
      <c r="F242" s="380" t="s">
        <v>275</v>
      </c>
      <c r="G242" s="307" t="s">
        <v>274</v>
      </c>
      <c r="H242" s="439" t="s">
        <v>250</v>
      </c>
      <c r="I242" s="381"/>
      <c r="J242" s="307" t="str">
        <f ca="1">IF(AND(
INDIRECT(
IF(INT((ROW(D242)-10)/30)+1=1,"DENDRO","")&amp;
IF(INT((ROW(D242)-10)/30)+1=2,"CELL","")&amp;
IF(INT((ROW(D242)-10)/30)+1=3,"RHIZO","")&amp;
IF(INT((ROW(D242)-10)/30)+1=4,"RHIZOTRON","")&amp;
IF(INT((ROW(D242)-10)/30)+1=5,"FOLIA","")&amp;
IF(INT((ROW(D242)-10)/30)+1=6,"SEEDLE","")&amp;
IF(INT((ROW(D242)-10)/30)+1=7,"CAM","")&amp;
IF(INT((ROW(D242)-10)/30)+1=8,"SCANOPY","") &amp; "_ChkB_RemoteUpdate"),
INDIRECT(
IF(INT((ROW(D242)-10)/30)+1=1,"DENDRO","")&amp;
IF(INT((ROW(D242)-10)/30)+1=2,"CELL","")&amp;
IF(INT((ROW(D242)-10)/30)+1=3,"RHIZO","")&amp;
IF(INT((ROW(D242)-10)/30)+1=4,"RHIZOTRON","")&amp;
IF(INT((ROW(D242)-10)/30)+1=5,"FOLIA","")&amp;
IF(INT((ROW(D242)-10)/30)+1=6,"SEEDLE","")&amp;
IF(INT((ROW(D242)-10)/30)+1=7,"CAM","")&amp;
IF(INT((ROW(D242)-10)/30)+1=8,"SCANOPY","") &amp; "_ChkBox_UpgradeUpdate")),
"Clé de bois ou Download. Reprogrammation clé client",
"☐ " &amp; IF(AND(QUOTE_Split_SoftwareHardware,QUOTE_InternetDownload),"Man ds env. ""Documents"", Clé ds bulle collée sur env.","Reliée au Man"))</f>
        <v>☐ Reliée au Man</v>
      </c>
      <c r="K242" s="265"/>
      <c r="L242" s="223"/>
      <c r="M242" s="439"/>
      <c r="N242" s="380"/>
      <c r="O242" s="307"/>
      <c r="P242" s="215"/>
      <c r="Q242" s="215"/>
    </row>
    <row r="243" spans="1:17" ht="16.25" customHeight="1" x14ac:dyDescent="0.2">
      <c r="A243" s="422"/>
      <c r="B243" s="297"/>
      <c r="C243" s="902" t="str">
        <f>IF((SCANOPY_N_UpgradeUpdate + SCANOPY_N_Software ) = 2,"",LEFT(INDEX(SCANOPY_SoftwareFullNames,SCANOPY_IndexSoftware),FIND(" ",INDEX(SCANOPY_SoftwareFullNames,SCANOPY_IndexSoftware),FIND(" ",INDEX(SCANOPY_SoftwareFullNames,SCANOPY_IndexSoftware))+1)) &amp;
SCANOPY_YearMostRecent )</f>
        <v/>
      </c>
      <c r="D243" s="902"/>
      <c r="E243" s="305"/>
      <c r="F243" s="305"/>
      <c r="G243" s="276" t="str">
        <f>IF(SCANOPY_OptionXL*(SCANOPY_N_Software+SCANOPY_N_UpgradeUpdate-2)&gt;=((ROW(G243)-ROW($G$219))/4+1),"XLSCANOPY "&amp; SCANOPY_YearMostRecent,IF(SCANOPY_Option1*(SCANOPY_N_Software-1)&gt;=((ROW(G243)-ROW($G$219))/4+1),"XLSCANOPY Mini "&amp; SCANOPY_YearMostRecent,""))</f>
        <v/>
      </c>
      <c r="H243" s="263"/>
      <c r="I243" s="263"/>
      <c r="J243" s="276" t="str">
        <f>IF(SCANOPY_N_System-1&gt;=((ROW(G243)-ROW($G$219))/4+1),IF(Francais,"Système","")&amp;IF(SCANOPY_IndexScanner=1," 24 MP DSLR"," 24 MP Mini Point&amp;Shoot")&amp;IF(Francais,""," System"),
IF(AND(SCANOPY_N_Software&gt;SCANOPY_N_System,SCANOPY_N_Software-1&gt;=((ROW(G243)-ROW($G$219))/4+1)),IF(N_SystemTotal=0,"Software Only",IF(N_STDScanners+N_LAScanners+N_LCScanners=0,"Software Sans Scanner","Software Avec Scanner")),
IF(SCANOPY_N_UpgradeUpdate-1&gt;=((ROW(G243)-ROW($G$219))/4+1)-(MAX(SCANOPY_N_System,SCANOPY_N_Software)-1),"Update","")))</f>
        <v/>
      </c>
      <c r="K243" s="263"/>
      <c r="L243" s="262"/>
      <c r="M243" s="262"/>
      <c r="N243" s="262"/>
      <c r="O243" s="215"/>
      <c r="P243" s="215"/>
      <c r="Q243" s="215"/>
    </row>
    <row r="244" spans="1:17" ht="24" customHeight="1" x14ac:dyDescent="0.2">
      <c r="A244" s="458" t="s">
        <v>258</v>
      </c>
      <c r="B244" s="287" t="s">
        <v>258</v>
      </c>
      <c r="C244" s="378" t="str">
        <f>IF(AND(QUOTE_Split_SoftwareHardware,QUOTE_InternetDownload),"",
"☐☐ Win" &amp;
IF(INT((ROW(D244)-10)/30)+1=1,"DEN","")&amp;
IF(INT((ROW(D244)-10)/30)+1=2,"CEL","")&amp;
IF(INT((ROW(D244)-10)/30)+1=3,"RHI","")&amp;
IF(INT((ROW(D244)-10)/30)+1=4,"RT","")&amp;
IF(INT((ROW(D244)-10)/30)+1=5,"FOL","")&amp;
IF(INT((ROW(D244)-10)/30)+1=6,"SEE","")&amp;
IF(INT((ROW(D244)-10)/30)+1=7,"CAM","")&amp;
IF(INT((ROW(D244)-10)/30)+1=8,"SCA","") &amp; ".exe")</f>
        <v>☐☐ WinSCA.exe</v>
      </c>
      <c r="D244" s="378" t="str">
        <f>IF(AND(QUOTE_Split_SoftwareHardware,QUOTE_InternetDownload),"",
 IF(N("If it is Cam, Do not Show XL")+AND(ROW(D244)&gt;=189,ROW(D244)&lt;=218),"","☐ XL" &amp;
IF(INT((ROW(D244)-10)/30)+1=1,"STEM","")&amp;
IF(INT((ROW(D244)-10)/30)+1=2,"Cell","")&amp;
IF(INT((ROW(D244)-10)/30)+1=3,"Rhizo","")&amp;
IF(INT((ROW(D244)-10)/30)+1=4,"RhizoT","")&amp;
IF(INT((ROW(D244)-10)/30)+1=5,"Folia","")&amp;
IF(INT((ROW(D244)-10)/30)+1=6,"Seedle","")&amp;
IF(INT((ROW(D244)-10)/30)+1=7,"Cam","")&amp;
IF(INT((ROW(D244)-10)/30)+1=8,"Scanopy","") &amp; ".xls"))</f>
        <v>☐ XLScanopy.xls</v>
      </c>
      <c r="E244" s="378" t="s">
        <v>299</v>
      </c>
      <c r="F244" s="379" t="s">
        <v>152</v>
      </c>
      <c r="G244" s="378" t="str">
        <f xml:space="preserve"> IF(N("If it is Cam, Do not Show XL")+AND(ROW(G244)&gt;=189,ROW(G244)&lt;=218),"","☐ XL Man")</f>
        <v>☐ XL Man</v>
      </c>
      <c r="H244" s="379" t="s">
        <v>280</v>
      </c>
      <c r="I244" s="307" t="s">
        <v>274</v>
      </c>
      <c r="J244" s="379" t="str">
        <f>IF(N("Si OR dessous = vrai, pas de box")+OR(
N("1 OR Tron ou CELL")+OR(AND(ROW(E244)&gt;=39,ROW(E244)&lt;=68),AND(ROW(E244)&gt;=99,ROW(E244)&lt;=128)),
N("2 Pas de système scanopy and range opy")+AND(ROW(E244)&gt;=219,ROW(E244)&lt;=248,SCANOPY_N_System&lt;2),
N("3 Avec LC") + IF(AND(IF(PROD_MostPopularScanner="LC",1,0), NOT(AND(ROW(E244)&gt;=129,ROW(E244)&lt;=158)), NOT(AND(ROW(E244)&gt;=189,ROW(E244)&lt;=218))),1,0)
),"","☐ ")
&amp;
IF(N("If it's OPY, put OMount Manual instead")+
AND(ROW(D244)&gt;=219,ROW(D244)&lt;=248),
IF(SCANOPY_N_System&gt;1,
IF(SCANOPY_IndexScanner=1,"α" &amp; SCANOPY_CameraModel,SCANOPY_CameraModel_Mini) &amp; " Man",""),
IF(N("Empty si OR = true . . .If it is Cell or Tron, Do not Show Scanner related items + Hide if LC is favorite on unavailable product")+OR(
AND(ROW(E244)&gt;=39,ROW(E244)&lt;=68),
AND(ROW(E244)&gt;=99,ROW(E244)&lt;=128),
AND(IF(PROD_MostPopularScanner="LC",1,0), NOT(AND(ROW(E244)&gt;=129,ROW(E244)&lt;=158)), NOT(AND(ROW(E244)&gt;=189,ROW(E244)&lt;=218))),
0=1),
    "", IF(1=N("Si système a un scanner différent du Scanner populaire alors différent, sinon Scanner populaire")+AND(NOT(ISERROR(SEARCH("System",J243))),LEFT(J243,2)&lt;&gt;LEFT(PROD_MostPopularScanner,2)),
LEFT(J243,SEARCH("00",J243)-3),
PROD_MostPopularScanner) &amp; " Install Man"))</f>
        <v/>
      </c>
      <c r="K244" s="378" t="str">
        <f>IF(N("If it is Cell or Tron or OPY, Do not Show Twain")+OR(AND(ROW(K244)&gt;=39,ROW(K244)&lt;=68),AND(ROW(K244)&gt;=99,ROW(K244)&lt;=128),AND(ROW(J244)&gt;=219,ROW(J244)&lt;=248)),"","☐ TWAIN")</f>
        <v/>
      </c>
      <c r="L244" s="379" t="str">
        <f>IF(AND(IF(PROD_MostPopularScanner="LC",1,0), NOT(AND(ROW(E244)&gt;=129,ROW(E244)&lt;=158)), NOT(AND(ROW(E244)&gt;=189,ROW(E244)&lt;=218))),"",
IF(N("Si OR dessous = vrai, pas de box")+OR(
N("1 OR Dendro+CELL, Tron+Folia,Cam")+OR(
AND(ROW(K244)&gt;=9,ROW(K244)&lt;=68),
AND(ROW(K244)&gt;=99,ROW(K244)&lt;=158),
AND(ROW(K244)&gt;=189,ROW(K244)&lt;=218)),
N("2 Pas de système scanopy and range opy")+AND(ROW(K244)&gt;=219,ROW(K244)&lt;=248,SCANOPY_N_System&lt;2),
N("3 Avec LC")&amp;IF(ISERROR(LEFT(J243,SEARCH("00",J243)-3)),"",LEFT(J243,SEARCH("00",J243)-3))="LC"),"","☐ ")
&amp;
IF(N("If it's OPY, put OMount Manual instead")+
AND(ROW(J244)&gt;=219,ROW(J244)&lt;=248),
IF(SCANOPY_N_System&gt;1,"OMount Man",""),
IF(N("If it is Dendro+CELL, Tron+Folia or Cam, Do not Show Scanner related items+No Video if LC")+OR(
AND(ROW(K244)&gt;=9,ROW(K244)&lt;=68),
AND(ROW(K244)&gt;=99,ROW(K244)&lt;=158),
AND(ROW(K244)&gt;=189,ROW(K244)&lt;=218),
IF(ISERROR(LEFT(J243,SEARCH("00",J243)-3)),"",LEFT(J243,SEARCH("00",J243)-3))="LC"),
    "", "Video " &amp; IF(1=N("Si système a un scanner différent du Scanner populaire alors différent, sinon Scanner populaire")+AND(NOT(ISERROR(SEARCH("System",J243))),LEFT(J243,2)&lt;&gt;LEFT(PROD_MostPopularScanner,2)),
LEFT(J243,SEARCH("00",J243)-3),
PROD_MostPopularScanner) &amp; " Install"))
)</f>
        <v/>
      </c>
      <c r="M244" s="378" t="str">
        <f>IF(N("If it is Dendro or Tron, Do not Show Color Analysis Video")+
OR(AND(ROW(L244)&gt;=9,ROW(L244)&lt;=38),
AND(ROW(L244)&gt;=99,ROW(L244)&lt;=128)), "","☐ Video ClrAna")</f>
        <v>☐ Video ClrAna</v>
      </c>
      <c r="N244" s="379" t="str">
        <f>IF(OR(INT((ROW(D244)-10)/30)+1=2,INT((ROW(D244)-10)/30)+1=4),"","☐ ")&amp;
IF(INT((ROW(D244)-10)/30)+1=1,"Scanner.cal","")&amp;
IF(INT((ROW(D244)-10)/30)+1=2,"","")&amp;
IF(INT((ROW(D244)-10)/30)+1=3,"Scanner.cal","")&amp;
IF(INT((ROW(D244)-10)/30)+1=4,"","")&amp;
IF(INT((ROW(D244)-10)/30)+1=5,"Scanner.cal","")&amp;
IF(INT((ROW(D244)-10)/30)+1=6,"Scanner.cal","")&amp;
IF(INT((ROW(D244)-10)/30)+1=7,"Scanner.cal","")&amp;
IF(INT((ROW(D244)-10)/30)+1=8,"Indiv" &amp; " Lens.cal","")</f>
        <v>☐ Indiv Lens.cal</v>
      </c>
      <c r="O244" s="307" t="str">
        <f>IF(AND(ROW(L244)&gt;=9,ROW(L244)&lt;=38),"☐ RegentTarget.blu","")</f>
        <v/>
      </c>
      <c r="P244" s="215"/>
      <c r="Q244" s="215"/>
    </row>
    <row r="245" spans="1:17" ht="24" customHeight="1" x14ac:dyDescent="0.2">
      <c r="A245" s="458" t="s">
        <v>259</v>
      </c>
      <c r="B245" s="224" t="s">
        <v>259</v>
      </c>
      <c r="C245" s="307" t="s">
        <v>152</v>
      </c>
      <c r="D245" s="307" t="str">
        <f xml:space="preserve"> IF(N("If it is Cam, Do not Show XL")+AND(ROW(D245)&gt;=189,ROW(D245)&lt;=218),"","☐ XL Man")</f>
        <v>☐ XL Man</v>
      </c>
      <c r="E245" s="437" t="str">
        <f>IF(N("Si OR dessous = vrai, pas de box")+OR(
N("1 OR Tron ou CELL")+OR(AND(ROW(K244)&gt;=39,ROW(K244)&lt;=68),AND(ROW(K244)&gt;=99,ROW(K244)&lt;=128)),
N("2 Pas de système scanopy and range opy")+AND(ROW(K244)&gt;=219,ROW(K244)&lt;=248,SCANOPY_N_System&lt;2),
N("3 Avec LC")&amp;IF(ISERROR(LEFT(J243,SEARCH("00",J243)-3)),"",LEFT(J243,SEARCH("00",J243)-3))="LC"),"","☐ ")
&amp;
IF(N("If it's OPY, put OMount Manual instead")+
AND(ROW(J244)&gt;=219,ROW(J244)&lt;=248),
IF(SCANOPY_N_System&gt;1,"OMount Man",""),
IF(N("If it is Cell or Tron, Do not Show Scanner related items")+OR(
AND(ROW(K244)&gt;=39,ROW(K244)&lt;=68),
AND(ROW(K244)&gt;=99,ROW(K244)&lt;=128)),
    "", IF(1=N("Si système a un scanner différent du Scanner populaire alors différent, sinon Scanner populaire")+AND(NOT(ISERROR(SEARCH("System",J243))),LEFT(J243,2)&lt;&gt;LEFT(PROD_MostPopularScanner,2)),
LEFT(J243,SEARCH("00",J243)-3),
PROD_MostPopularScanner) &amp; " Install Man"))</f>
        <v/>
      </c>
      <c r="F245" s="380" t="s">
        <v>275</v>
      </c>
      <c r="G245" s="307" t="s">
        <v>274</v>
      </c>
      <c r="H245" s="439" t="s">
        <v>250</v>
      </c>
      <c r="I245" s="381"/>
      <c r="J245" s="307" t="str">
        <f ca="1">IF(AND(
INDIRECT(
IF(INT((ROW(D245)-10)/30)+1=1,"DENDRO","")&amp;
IF(INT((ROW(D245)-10)/30)+1=2,"CELL","")&amp;
IF(INT((ROW(D245)-10)/30)+1=3,"RHIZO","")&amp;
IF(INT((ROW(D245)-10)/30)+1=4,"RHIZOTRON","")&amp;
IF(INT((ROW(D245)-10)/30)+1=5,"FOLIA","")&amp;
IF(INT((ROW(D245)-10)/30)+1=6,"SEEDLE","")&amp;
IF(INT((ROW(D245)-10)/30)+1=7,"CAM","")&amp;
IF(INT((ROW(D245)-10)/30)+1=8,"SCANOPY","") &amp; "_ChkB_RemoteUpdate"),
INDIRECT(
IF(INT((ROW(D245)-10)/30)+1=1,"DENDRO","")&amp;
IF(INT((ROW(D245)-10)/30)+1=2,"CELL","")&amp;
IF(INT((ROW(D245)-10)/30)+1=3,"RHIZO","")&amp;
IF(INT((ROW(D245)-10)/30)+1=4,"RHIZOTRON","")&amp;
IF(INT((ROW(D245)-10)/30)+1=5,"FOLIA","")&amp;
IF(INT((ROW(D245)-10)/30)+1=6,"SEEDLE","")&amp;
IF(INT((ROW(D245)-10)/30)+1=7,"CAM","")&amp;
IF(INT((ROW(D245)-10)/30)+1=8,"SCANOPY","") &amp; "_ChkBox_UpgradeUpdate")),
"Clé de bois ou Download. Reprogrammation clé client",
"☐ " &amp; IF(AND(QUOTE_Split_SoftwareHardware,QUOTE_InternetDownload),"Man ds env. ""Documents"", Clé ds bulle collée sur env.","Reliée au Man"))</f>
        <v>☐ Reliée au Man</v>
      </c>
      <c r="K245" s="265"/>
      <c r="L245" s="223"/>
      <c r="M245" s="439"/>
      <c r="N245" s="380"/>
      <c r="O245" s="307"/>
      <c r="P245" s="215"/>
      <c r="Q245" s="215"/>
    </row>
    <row r="246" spans="1:17" ht="16.25" customHeight="1" x14ac:dyDescent="0.2">
      <c r="A246" s="422"/>
      <c r="B246" s="297"/>
      <c r="C246" s="902" t="str">
        <f>IF((SCANOPY_N_UpgradeUpdate + SCANOPY_N_Software ) = 2,"",LEFT(INDEX(SCANOPY_SoftwareFullNames,SCANOPY_IndexSoftware),FIND(" ",INDEX(SCANOPY_SoftwareFullNames,SCANOPY_IndexSoftware),FIND(" ",INDEX(SCANOPY_SoftwareFullNames,SCANOPY_IndexSoftware))+1)) &amp;
SCANOPY_YearMostRecent )</f>
        <v/>
      </c>
      <c r="D246" s="902"/>
      <c r="E246" s="305"/>
      <c r="F246" s="305"/>
      <c r="G246" s="276" t="str">
        <f>IF(SCANOPY_OptionXL*(SCANOPY_N_Software+SCANOPY_N_UpgradeUpdate-2)&gt;=((ROW(G246)-ROW($G$219))/4+1),"XLSCANOPY "&amp; SCANOPY_YearMostRecent,IF(SCANOPY_Option1*(SCANOPY_N_Software-1)&gt;=((ROW(G246)-ROW($G$219))/4+1),"XLSCANOPY Mini "&amp; SCANOPY_YearMostRecent,""))</f>
        <v/>
      </c>
      <c r="H246" s="263"/>
      <c r="I246" s="263"/>
      <c r="J246" s="276" t="str">
        <f>IF(SCANOPY_N_System-1&gt;=((ROW(G246)-ROW($G$219))/4+1),IF(Francais,"Système","")&amp;IF(SCANOPY_IndexScanner=1," 24 MP DSLR"," 24 MP Mini Point&amp;Shoot")&amp;IF(Francais,""," System"),
IF(AND(SCANOPY_N_Software&gt;SCANOPY_N_System,SCANOPY_N_Software-1&gt;=((ROW(G246)-ROW($G$219))/4+1)),IF(N_SystemTotal=0,"Software Only",IF(N_STDScanners+N_LAScanners+N_LCScanners=0,"Software Sans Scanner","Software Avec Scanner")),
IF(SCANOPY_N_UpgradeUpdate-1&gt;=((ROW(G246)-ROW($G$219))/4+1)-(MAX(SCANOPY_N_System,SCANOPY_N_Software)-1),"Update","")))</f>
        <v/>
      </c>
      <c r="K246" s="263"/>
      <c r="L246" s="262"/>
      <c r="M246" s="262"/>
      <c r="N246" s="262"/>
      <c r="O246" s="215"/>
      <c r="P246" s="215"/>
      <c r="Q246" s="215"/>
    </row>
    <row r="247" spans="1:17" ht="24" customHeight="1" x14ac:dyDescent="0.2">
      <c r="A247" s="458" t="s">
        <v>258</v>
      </c>
      <c r="B247" s="287" t="s">
        <v>258</v>
      </c>
      <c r="C247" s="378" t="str">
        <f>IF(AND(QUOTE_Split_SoftwareHardware,QUOTE_InternetDownload),"",
"☐☐ Win" &amp;
IF(INT((ROW(D247)-10)/30)+1=1,"DEN","")&amp;
IF(INT((ROW(D247)-10)/30)+1=2,"CEL","")&amp;
IF(INT((ROW(D247)-10)/30)+1=3,"RHI","")&amp;
IF(INT((ROW(D247)-10)/30)+1=4,"RT","")&amp;
IF(INT((ROW(D247)-10)/30)+1=5,"FOL","")&amp;
IF(INT((ROW(D247)-10)/30)+1=6,"SEE","")&amp;
IF(INT((ROW(D247)-10)/30)+1=7,"CAM","")&amp;
IF(INT((ROW(D247)-10)/30)+1=8,"SCA","") &amp; ".exe")</f>
        <v>☐☐ WinSCA.exe</v>
      </c>
      <c r="D247" s="378" t="str">
        <f>IF(AND(QUOTE_Split_SoftwareHardware,QUOTE_InternetDownload),"",
 IF(N("If it is Cam, Do not Show XL")+AND(ROW(D247)&gt;=189,ROW(D247)&lt;=218),"","☐ XL" &amp;
IF(INT((ROW(D247)-10)/30)+1=1,"STEM","")&amp;
IF(INT((ROW(D247)-10)/30)+1=2,"Cell","")&amp;
IF(INT((ROW(D247)-10)/30)+1=3,"Rhizo","")&amp;
IF(INT((ROW(D247)-10)/30)+1=4,"RhizoT","")&amp;
IF(INT((ROW(D247)-10)/30)+1=5,"Folia","")&amp;
IF(INT((ROW(D247)-10)/30)+1=6,"Seedle","")&amp;
IF(INT((ROW(D247)-10)/30)+1=7,"Cam","")&amp;
IF(INT((ROW(D247)-10)/30)+1=8,"Scanopy","") &amp; ".xls"))</f>
        <v>☐ XLScanopy.xls</v>
      </c>
      <c r="E247" s="378" t="s">
        <v>299</v>
      </c>
      <c r="F247" s="379" t="s">
        <v>152</v>
      </c>
      <c r="G247" s="378" t="str">
        <f xml:space="preserve"> IF(N("If it is Cam, Do not Show XL")+AND(ROW(G247)&gt;=189,ROW(G247)&lt;=218),"","☐ XL Man")</f>
        <v>☐ XL Man</v>
      </c>
      <c r="H247" s="379" t="s">
        <v>280</v>
      </c>
      <c r="I247" s="307" t="s">
        <v>274</v>
      </c>
      <c r="J247" s="379" t="str">
        <f>IF(N("Si OR dessous = vrai, pas de box")+OR(
N("1 OR Tron ou CELL")+OR(AND(ROW(E247)&gt;=39,ROW(E247)&lt;=68),AND(ROW(E247)&gt;=99,ROW(E247)&lt;=128)),
N("2 Pas de système scanopy and range opy")+AND(ROW(E247)&gt;=219,ROW(E247)&lt;=248,SCANOPY_N_System&lt;2),
N("3 Avec LC") + IF(AND(IF(PROD_MostPopularScanner="LC",1,0), NOT(AND(ROW(E247)&gt;=129,ROW(E247)&lt;=158)), NOT(AND(ROW(E247)&gt;=189,ROW(E247)&lt;=218))),1,0)
),"","☐ ")
&amp;
IF(N("If it's OPY, put OMount Manual instead")+
AND(ROW(D247)&gt;=219,ROW(D247)&lt;=248),
IF(SCANOPY_N_System&gt;1,
IF(SCANOPY_IndexScanner=1,"α" &amp; SCANOPY_CameraModel,SCANOPY_CameraModel_Mini) &amp; " Man",""),
IF(N("Empty si OR = true . . .If it is Cell or Tron, Do not Show Scanner related items + Hide if LC is favorite on unavailable product")+OR(
AND(ROW(E247)&gt;=39,ROW(E247)&lt;=68),
AND(ROW(E247)&gt;=99,ROW(E247)&lt;=128),
AND(IF(PROD_MostPopularScanner="LC",1,0), NOT(AND(ROW(E247)&gt;=129,ROW(E247)&lt;=158)), NOT(AND(ROW(E247)&gt;=189,ROW(E247)&lt;=218))),
0=1),
    "", IF(1=N("Si système a un scanner différent du Scanner populaire alors différent, sinon Scanner populaire")+AND(NOT(ISERROR(SEARCH("System",J246))),LEFT(J246,2)&lt;&gt;LEFT(PROD_MostPopularScanner,2)),
LEFT(J246,SEARCH("00",J246)-3),
PROD_MostPopularScanner) &amp; " Install Man"))</f>
        <v/>
      </c>
      <c r="K247" s="378" t="str">
        <f>IF(N("If it is Cell or Tron or OPY, Do not Show Twain")+OR(AND(ROW(K247)&gt;=39,ROW(K247)&lt;=68),AND(ROW(K247)&gt;=99,ROW(K247)&lt;=128),AND(ROW(J247)&gt;=219,ROW(J247)&lt;=248)),"","☐ TWAIN")</f>
        <v/>
      </c>
      <c r="L247" s="379" t="str">
        <f>IF(AND(IF(PROD_MostPopularScanner="LC",1,0), NOT(AND(ROW(E247)&gt;=129,ROW(E247)&lt;=158)), NOT(AND(ROW(E247)&gt;=189,ROW(E247)&lt;=218))),"",
IF(N("Si OR dessous = vrai, pas de box")+OR(
N("1 OR Dendro+CELL, Tron+Folia,Cam")+OR(
AND(ROW(K247)&gt;=9,ROW(K247)&lt;=68),
AND(ROW(K247)&gt;=99,ROW(K247)&lt;=158),
AND(ROW(K247)&gt;=189,ROW(K247)&lt;=218)),
N("2 Pas de système scanopy and range opy")+AND(ROW(K247)&gt;=219,ROW(K247)&lt;=248,SCANOPY_N_System&lt;2),
N("3 Avec LC")&amp;IF(ISERROR(LEFT(J246,SEARCH("00",J246)-3)),"",LEFT(J246,SEARCH("00",J246)-3))="LC"),"","☐ ")
&amp;
IF(N("If it's OPY, put OMount Manual instead")+
AND(ROW(J247)&gt;=219,ROW(J247)&lt;=248),
IF(SCANOPY_N_System&gt;1,"OMount Man",""),
IF(N("If it is Dendro+CELL, Tron+Folia or Cam, Do not Show Scanner related items+No Video if LC")+OR(
AND(ROW(K247)&gt;=9,ROW(K247)&lt;=68),
AND(ROW(K247)&gt;=99,ROW(K247)&lt;=158),
AND(ROW(K247)&gt;=189,ROW(K247)&lt;=218),
IF(ISERROR(LEFT(J246,SEARCH("00",J246)-3)),"",LEFT(J246,SEARCH("00",J246)-3))="LC"),
    "", "Video " &amp; IF(1=N("Si système a un scanner différent du Scanner populaire alors différent, sinon Scanner populaire")+AND(NOT(ISERROR(SEARCH("System",J246))),LEFT(J246,2)&lt;&gt;LEFT(PROD_MostPopularScanner,2)),
LEFT(J246,SEARCH("00",J246)-3),
PROD_MostPopularScanner) &amp; " Install"))
)</f>
        <v/>
      </c>
      <c r="M247" s="378" t="str">
        <f>IF(N("If it is Dendro or Tron, Do not Show Color Analysis Video")+
OR(AND(ROW(L247)&gt;=9,ROW(L247)&lt;=38),
AND(ROW(L247)&gt;=99,ROW(L247)&lt;=128)), "","☐ Video ClrAna")</f>
        <v>☐ Video ClrAna</v>
      </c>
      <c r="N247" s="379" t="str">
        <f>IF(OR(INT((ROW(D247)-10)/30)+1=2,INT((ROW(D247)-10)/30)+1=4),"","☐ ")&amp;
IF(INT((ROW(D247)-10)/30)+1=1,"Scanner.cal","")&amp;
IF(INT((ROW(D247)-10)/30)+1=2,"","")&amp;
IF(INT((ROW(D247)-10)/30)+1=3,"Scanner.cal","")&amp;
IF(INT((ROW(D247)-10)/30)+1=4,"","")&amp;
IF(INT((ROW(D247)-10)/30)+1=5,"Scanner.cal","")&amp;
IF(INT((ROW(D247)-10)/30)+1=6,"Scanner.cal","")&amp;
IF(INT((ROW(D247)-10)/30)+1=7,"Scanner.cal","")&amp;
IF(INT((ROW(D247)-10)/30)+1=8,"Indiv" &amp; " Lens.cal","")</f>
        <v>☐ Indiv Lens.cal</v>
      </c>
      <c r="O247" s="307" t="str">
        <f>IF(AND(ROW(L247)&gt;=9,ROW(L247)&lt;=38),"☐ RegentTarget.blu","")</f>
        <v/>
      </c>
      <c r="P247" s="215"/>
      <c r="Q247" s="215"/>
    </row>
    <row r="248" spans="1:17" ht="24" customHeight="1" x14ac:dyDescent="0.2">
      <c r="A248" s="458" t="s">
        <v>259</v>
      </c>
      <c r="B248" s="224" t="s">
        <v>259</v>
      </c>
      <c r="C248" s="307" t="s">
        <v>152</v>
      </c>
      <c r="D248" s="307" t="str">
        <f xml:space="preserve"> IF(N("If it is Cam, Do not Show XL")+AND(ROW(D248)&gt;=189,ROW(D248)&lt;=218),"","☐ XL Man")</f>
        <v>☐ XL Man</v>
      </c>
      <c r="E248" s="437" t="str">
        <f>IF(N("Si OR dessous = vrai, pas de box")+OR(
N("1 OR Tron ou CELL")+OR(AND(ROW(K247)&gt;=39,ROW(K247)&lt;=68),AND(ROW(K247)&gt;=99,ROW(K247)&lt;=128)),
N("2 Pas de système scanopy and range opy")+AND(ROW(K247)&gt;=219,ROW(K247)&lt;=248,SCANOPY_N_System&lt;2),
N("3 Avec LC")&amp;IF(ISERROR(LEFT(J246,SEARCH("00",J246)-3)),"",LEFT(J246,SEARCH("00",J246)-3))="LC"),"","☐ ")
&amp;
IF(N("If it's OPY, put OMount Manual instead")+
AND(ROW(J247)&gt;=219,ROW(J247)&lt;=248),
IF(SCANOPY_N_System&gt;1,"OMount Man",""),
IF(N("If it is Cell or Tron, Do not Show Scanner related items")+OR(
AND(ROW(K247)&gt;=39,ROW(K247)&lt;=68),
AND(ROW(K247)&gt;=99,ROW(K247)&lt;=128)),
    "", IF(1=N("Si système a un scanner différent du Scanner populaire alors différent, sinon Scanner populaire")+AND(NOT(ISERROR(SEARCH("System",J246))),LEFT(J246,2)&lt;&gt;LEFT(PROD_MostPopularScanner,2)),
LEFT(J246,SEARCH("00",J246)-3),
PROD_MostPopularScanner) &amp; " Install Man"))</f>
        <v/>
      </c>
      <c r="F248" s="380" t="s">
        <v>275</v>
      </c>
      <c r="G248" s="307" t="s">
        <v>274</v>
      </c>
      <c r="H248" s="439" t="s">
        <v>250</v>
      </c>
      <c r="I248" s="381"/>
      <c r="J248" s="307" t="str">
        <f ca="1">IF(AND(
INDIRECT(
IF(INT((ROW(D248)-10)/30)+1=1,"DENDRO","")&amp;
IF(INT((ROW(D248)-10)/30)+1=2,"CELL","")&amp;
IF(INT((ROW(D248)-10)/30)+1=3,"RHIZO","")&amp;
IF(INT((ROW(D248)-10)/30)+1=4,"RHIZOTRON","")&amp;
IF(INT((ROW(D248)-10)/30)+1=5,"FOLIA","")&amp;
IF(INT((ROW(D248)-10)/30)+1=6,"SEEDLE","")&amp;
IF(INT((ROW(D248)-10)/30)+1=7,"CAM","")&amp;
IF(INT((ROW(D248)-10)/30)+1=8,"SCANOPY","") &amp; "_ChkB_RemoteUpdate"),
INDIRECT(
IF(INT((ROW(D248)-10)/30)+1=1,"DENDRO","")&amp;
IF(INT((ROW(D248)-10)/30)+1=2,"CELL","")&amp;
IF(INT((ROW(D248)-10)/30)+1=3,"RHIZO","")&amp;
IF(INT((ROW(D248)-10)/30)+1=4,"RHIZOTRON","")&amp;
IF(INT((ROW(D248)-10)/30)+1=5,"FOLIA","")&amp;
IF(INT((ROW(D248)-10)/30)+1=6,"SEEDLE","")&amp;
IF(INT((ROW(D248)-10)/30)+1=7,"CAM","")&amp;
IF(INT((ROW(D248)-10)/30)+1=8,"SCANOPY","") &amp; "_ChkBox_UpgradeUpdate")),
"Clé de bois ou Download. Reprogrammation clé client",
"☐ " &amp; IF(AND(QUOTE_Split_SoftwareHardware,QUOTE_InternetDownload),"Man ds env. ""Documents"", Clé ds bulle collée sur env.","Reliée au Man"))</f>
        <v>☐ Reliée au Man</v>
      </c>
      <c r="K248" s="265"/>
      <c r="L248" s="223"/>
      <c r="M248" s="439"/>
      <c r="N248" s="380"/>
      <c r="O248" s="307"/>
      <c r="P248" s="215"/>
      <c r="Q248" s="215"/>
    </row>
    <row r="249" spans="1:17" ht="16.25" customHeight="1" x14ac:dyDescent="0.25">
      <c r="A249" s="423"/>
      <c r="B249" s="267" t="s">
        <v>148</v>
      </c>
      <c r="C249" s="436" t="s">
        <v>148</v>
      </c>
      <c r="D249" s="266"/>
      <c r="E249" s="266"/>
      <c r="F249" s="266"/>
      <c r="G249" s="267"/>
      <c r="H249" s="268"/>
      <c r="I249" s="268"/>
      <c r="J249" s="268"/>
      <c r="K249" s="268"/>
      <c r="L249" s="268"/>
      <c r="M249" s="268"/>
      <c r="N249" s="268"/>
      <c r="O249" s="215"/>
      <c r="P249" s="215"/>
      <c r="Q249" s="215"/>
    </row>
    <row r="250" spans="1:17" ht="16.25" customHeight="1" x14ac:dyDescent="0.2">
      <c r="A250" s="415"/>
      <c r="B250" s="250"/>
      <c r="C250" s="251"/>
      <c r="D250" s="251"/>
      <c r="E250" s="251"/>
      <c r="F250" s="251"/>
      <c r="G250" s="251"/>
      <c r="H250" s="251"/>
      <c r="I250" s="251"/>
      <c r="J250" s="251"/>
      <c r="K250" s="251"/>
      <c r="L250" s="251"/>
      <c r="M250" s="251"/>
      <c r="N250" s="251"/>
      <c r="O250" s="215"/>
      <c r="P250" s="215"/>
      <c r="Q250" s="215"/>
    </row>
    <row r="251" spans="1:17" ht="18" customHeight="1" x14ac:dyDescent="0.2">
      <c r="A251" s="897" t="str">
        <f>"SCAN"&amp;1</f>
        <v>SCAN1</v>
      </c>
      <c r="B251" s="244" t="str">
        <f>"SCAN"&amp;1</f>
        <v>SCAN1</v>
      </c>
      <c r="C251" s="307" t="str">
        <f>IF(DENDRO_IndexScanner=1,"STD4800","LA2400")</f>
        <v>STD4800</v>
      </c>
      <c r="D251" s="382" t="str">
        <f>IF(DENDRO_IndexScanner=1,"V850","Exp13000")</f>
        <v>V850</v>
      </c>
      <c r="E251" s="381"/>
      <c r="F251" s="307" t="s">
        <v>153</v>
      </c>
      <c r="G251" s="307" t="s">
        <v>719</v>
      </c>
      <c r="H251" s="37"/>
      <c r="I251" s="439" t="s">
        <v>311</v>
      </c>
      <c r="J251" s="383"/>
      <c r="K251" s="307" t="s">
        <v>153</v>
      </c>
      <c r="L251" s="265"/>
      <c r="M251" s="307"/>
      <c r="N251" s="384"/>
      <c r="O251" s="384"/>
      <c r="P251" s="215"/>
      <c r="Q251" s="215"/>
    </row>
    <row r="252" spans="1:17" ht="18" customHeight="1" x14ac:dyDescent="0.2">
      <c r="A252" s="897"/>
      <c r="B252" s="245"/>
      <c r="C252" s="307" t="s">
        <v>246</v>
      </c>
      <c r="D252" s="265"/>
      <c r="E252" s="307"/>
      <c r="F252" s="307" t="s">
        <v>247</v>
      </c>
      <c r="G252" s="216"/>
      <c r="H252" s="265"/>
      <c r="I252" s="307" t="str">
        <f>"☐ " &amp; IF(DENDRO_IndexScanner=1,
"Label ""STD4800 Scanner""",
"Label ""LA2400 Scanner""")</f>
        <v>☐ Label "STD4800 Scanner"</v>
      </c>
      <c r="J252" s="265"/>
      <c r="K252" s="265"/>
      <c r="L252" s="265"/>
      <c r="M252" s="265"/>
      <c r="N252" s="384"/>
      <c r="O252" s="384"/>
      <c r="P252" s="215"/>
      <c r="Q252" s="215"/>
    </row>
    <row r="253" spans="1:17" ht="18" customHeight="1" x14ac:dyDescent="0.2">
      <c r="A253" s="897"/>
      <c r="B253" s="245"/>
      <c r="C253" s="265" t="s">
        <v>269</v>
      </c>
      <c r="D253" s="385"/>
      <c r="E253" s="386" t="s">
        <v>270</v>
      </c>
      <c r="F253" s="386" t="s">
        <v>271</v>
      </c>
      <c r="G253" s="386" t="s">
        <v>272</v>
      </c>
      <c r="H253" s="386" t="s">
        <v>273</v>
      </c>
      <c r="I253" s="384"/>
      <c r="J253" s="384"/>
      <c r="K253" s="384"/>
      <c r="L253" s="384"/>
      <c r="M253" s="384"/>
      <c r="N253" s="384"/>
      <c r="O253" s="384"/>
      <c r="P253" s="215"/>
      <c r="Q253" s="215"/>
    </row>
    <row r="254" spans="1:17" ht="13.25" customHeight="1" x14ac:dyDescent="0.2">
      <c r="A254" s="461"/>
      <c r="B254" s="245"/>
      <c r="C254" s="265"/>
      <c r="D254" s="265"/>
      <c r="E254" s="387"/>
      <c r="F254" s="265"/>
      <c r="G254" s="385"/>
      <c r="H254" s="265"/>
      <c r="I254" s="265"/>
      <c r="J254" s="265"/>
      <c r="K254" s="265"/>
      <c r="L254" s="388"/>
      <c r="M254" s="265"/>
      <c r="N254" s="384"/>
      <c r="O254" s="384"/>
      <c r="P254" s="215"/>
      <c r="Q254" s="215"/>
    </row>
    <row r="255" spans="1:17" ht="18" customHeight="1" x14ac:dyDescent="0.2">
      <c r="A255" s="896" t="str">
        <f>"SCAN"&amp;_xlfn.AGGREGATE(3,7,$B$251)+1</f>
        <v>SCAN2</v>
      </c>
      <c r="B255" s="244" t="str">
        <f>"SCAN"&amp;_xlfn.AGGREGATE(3,7,$B$251)+1</f>
        <v>SCAN2</v>
      </c>
      <c r="C255" s="307" t="str">
        <f>IF(DENDRO_IndexScanner=1,"STD4800","LA2400")</f>
        <v>STD4800</v>
      </c>
      <c r="D255" s="382" t="str">
        <f>IF(DENDRO_IndexScanner=1,"V850","Exp13000")</f>
        <v>V850</v>
      </c>
      <c r="E255" s="381"/>
      <c r="F255" s="307" t="s">
        <v>153</v>
      </c>
      <c r="G255" s="307" t="s">
        <v>719</v>
      </c>
      <c r="H255" s="37"/>
      <c r="I255" s="439" t="s">
        <v>311</v>
      </c>
      <c r="J255" s="383"/>
      <c r="K255" s="307" t="s">
        <v>153</v>
      </c>
      <c r="L255" s="265"/>
      <c r="M255" s="265"/>
      <c r="N255" s="384"/>
      <c r="O255" s="384"/>
      <c r="P255" s="215"/>
      <c r="Q255" s="215"/>
    </row>
    <row r="256" spans="1:17" ht="18" customHeight="1" x14ac:dyDescent="0.2">
      <c r="A256" s="896"/>
      <c r="B256" s="245"/>
      <c r="C256" s="307" t="s">
        <v>246</v>
      </c>
      <c r="D256" s="265"/>
      <c r="E256" s="307"/>
      <c r="F256" s="307" t="s">
        <v>247</v>
      </c>
      <c r="G256" s="265"/>
      <c r="H256" s="265"/>
      <c r="I256" s="307" t="str">
        <f>"☐ " &amp; IF(DENDRO_IndexScanner=1,
"Label ""STD4800 Scanner""",
"Label ""LA2400 Scanner""")</f>
        <v>☐ Label "STD4800 Scanner"</v>
      </c>
      <c r="J256" s="265"/>
      <c r="K256" s="265"/>
      <c r="L256" s="265"/>
      <c r="M256" s="265"/>
      <c r="N256" s="384"/>
      <c r="O256" s="384"/>
      <c r="P256" s="215"/>
      <c r="Q256" s="215"/>
    </row>
    <row r="257" spans="1:17" ht="18" customHeight="1" x14ac:dyDescent="0.2">
      <c r="A257" s="896"/>
      <c r="B257" s="245"/>
      <c r="C257" s="265" t="s">
        <v>269</v>
      </c>
      <c r="D257" s="385"/>
      <c r="E257" s="386" t="s">
        <v>270</v>
      </c>
      <c r="F257" s="386" t="s">
        <v>271</v>
      </c>
      <c r="G257" s="386" t="s">
        <v>272</v>
      </c>
      <c r="H257" s="386" t="s">
        <v>273</v>
      </c>
      <c r="I257" s="384"/>
      <c r="J257" s="384"/>
      <c r="K257" s="384"/>
      <c r="L257" s="384"/>
      <c r="M257" s="384"/>
      <c r="N257" s="384"/>
      <c r="O257" s="384"/>
      <c r="P257" s="215"/>
      <c r="Q257" s="215"/>
    </row>
    <row r="258" spans="1:17" ht="18" customHeight="1" x14ac:dyDescent="0.2">
      <c r="A258" s="461"/>
      <c r="B258" s="245"/>
      <c r="C258" s="265"/>
      <c r="D258" s="265"/>
      <c r="E258" s="387"/>
      <c r="F258" s="265"/>
      <c r="G258" s="385"/>
      <c r="H258" s="265"/>
      <c r="I258" s="265"/>
      <c r="J258" s="265"/>
      <c r="K258" s="265"/>
      <c r="L258" s="388"/>
      <c r="M258" s="265"/>
      <c r="N258" s="384"/>
      <c r="O258" s="384"/>
      <c r="P258" s="215"/>
      <c r="Q258" s="215"/>
    </row>
    <row r="259" spans="1:17" ht="18" customHeight="1" x14ac:dyDescent="0.2">
      <c r="A259" s="896" t="str">
        <f>"SCAN"&amp;_xlfn.AGGREGATE(3,7,$B$251,$B$255)+1</f>
        <v>SCAN3</v>
      </c>
      <c r="B259" s="244" t="str">
        <f>"SCAN"&amp;_xlfn.AGGREGATE(3,7,$B$251,$B$255)+1</f>
        <v>SCAN3</v>
      </c>
      <c r="C259" s="307" t="str">
        <f>IF(DENDRO_IndexScanner=1,"STD4800","LA2400")</f>
        <v>STD4800</v>
      </c>
      <c r="D259" s="382" t="str">
        <f>IF(DENDRO_IndexScanner=1,"V850","Exp13000")</f>
        <v>V850</v>
      </c>
      <c r="E259" s="381"/>
      <c r="F259" s="307" t="s">
        <v>153</v>
      </c>
      <c r="G259" s="307" t="s">
        <v>719</v>
      </c>
      <c r="H259" s="37"/>
      <c r="I259" s="439" t="s">
        <v>311</v>
      </c>
      <c r="J259" s="383"/>
      <c r="K259" s="307" t="s">
        <v>153</v>
      </c>
      <c r="L259" s="265"/>
      <c r="M259" s="307"/>
      <c r="N259" s="384"/>
      <c r="O259" s="384"/>
      <c r="P259" s="215"/>
      <c r="Q259" s="215"/>
    </row>
    <row r="260" spans="1:17" ht="18" customHeight="1" x14ac:dyDescent="0.2">
      <c r="A260" s="896"/>
      <c r="B260" s="245"/>
      <c r="C260" s="307" t="s">
        <v>246</v>
      </c>
      <c r="D260" s="265"/>
      <c r="E260" s="307"/>
      <c r="F260" s="307" t="s">
        <v>247</v>
      </c>
      <c r="G260" s="265"/>
      <c r="H260" s="265"/>
      <c r="I260" s="307" t="str">
        <f>"☐ " &amp; IF(DENDRO_IndexScanner=1,
"Label ""STD4800 Scanner""",
"Label ""LA2400 Scanner""")</f>
        <v>☐ Label "STD4800 Scanner"</v>
      </c>
      <c r="J260" s="265"/>
      <c r="K260" s="265"/>
      <c r="L260" s="265"/>
      <c r="M260" s="265"/>
      <c r="N260" s="384"/>
      <c r="O260" s="384"/>
      <c r="P260" s="215"/>
      <c r="Q260" s="215"/>
    </row>
    <row r="261" spans="1:17" ht="18" customHeight="1" x14ac:dyDescent="0.2">
      <c r="A261" s="896"/>
      <c r="B261" s="245"/>
      <c r="C261" s="265" t="s">
        <v>269</v>
      </c>
      <c r="D261" s="385"/>
      <c r="E261" s="386" t="s">
        <v>270</v>
      </c>
      <c r="F261" s="386" t="s">
        <v>271</v>
      </c>
      <c r="G261" s="386" t="s">
        <v>272</v>
      </c>
      <c r="H261" s="386" t="s">
        <v>273</v>
      </c>
      <c r="I261" s="384"/>
      <c r="J261" s="384"/>
      <c r="K261" s="384"/>
      <c r="L261" s="384"/>
      <c r="M261" s="384"/>
      <c r="N261" s="384"/>
      <c r="O261" s="384"/>
      <c r="P261" s="215"/>
      <c r="Q261" s="215"/>
    </row>
    <row r="262" spans="1:17" ht="18" customHeight="1" x14ac:dyDescent="0.2">
      <c r="A262" s="461"/>
      <c r="B262" s="245"/>
      <c r="C262" s="265"/>
      <c r="D262" s="265"/>
      <c r="E262" s="387"/>
      <c r="F262" s="265"/>
      <c r="G262" s="385"/>
      <c r="H262" s="384"/>
      <c r="I262" s="384"/>
      <c r="J262" s="384"/>
      <c r="K262" s="384"/>
      <c r="L262" s="384"/>
      <c r="M262" s="384"/>
      <c r="N262" s="384"/>
      <c r="O262" s="384"/>
      <c r="P262" s="215"/>
      <c r="Q262" s="215"/>
    </row>
    <row r="263" spans="1:17" ht="18" customHeight="1" x14ac:dyDescent="0.2">
      <c r="A263" s="896" t="str">
        <f>"SCAN"&amp;_xlfn.AGGREGATE(3,7,$B$251,$B$255,$B$259)+1</f>
        <v>SCAN4</v>
      </c>
      <c r="B263" s="244" t="str">
        <f>"SCAN"&amp;_xlfn.AGGREGATE(3,7,$B$251,$B$255,$B$259)+1</f>
        <v>SCAN4</v>
      </c>
      <c r="C263" s="307" t="str">
        <f>IF(DENDRO_IndexScanner=1,"STD4800","LA2400")</f>
        <v>STD4800</v>
      </c>
      <c r="D263" s="382" t="str">
        <f>IF(DENDRO_IndexScanner=1,"V850","Exp13000")</f>
        <v>V850</v>
      </c>
      <c r="E263" s="381"/>
      <c r="F263" s="307" t="s">
        <v>153</v>
      </c>
      <c r="G263" s="307" t="s">
        <v>719</v>
      </c>
      <c r="H263" s="37"/>
      <c r="I263" s="439" t="s">
        <v>311</v>
      </c>
      <c r="J263" s="383"/>
      <c r="K263" s="307" t="s">
        <v>153</v>
      </c>
      <c r="L263" s="265"/>
      <c r="M263" s="307"/>
      <c r="N263" s="384"/>
      <c r="O263" s="384"/>
      <c r="P263" s="215"/>
      <c r="Q263" s="215"/>
    </row>
    <row r="264" spans="1:17" ht="18" customHeight="1" x14ac:dyDescent="0.2">
      <c r="A264" s="896"/>
      <c r="B264" s="245"/>
      <c r="C264" s="307" t="s">
        <v>246</v>
      </c>
      <c r="D264" s="265"/>
      <c r="E264" s="307"/>
      <c r="F264" s="307" t="s">
        <v>247</v>
      </c>
      <c r="G264" s="265"/>
      <c r="H264" s="265"/>
      <c r="I264" s="307" t="str">
        <f>"☐ " &amp; IF(DENDRO_IndexScanner=1,
"Label ""STD4800 Scanner""",
"Label ""LA2400 Scanner""")</f>
        <v>☐ Label "STD4800 Scanner"</v>
      </c>
      <c r="J264" s="265"/>
      <c r="K264" s="265"/>
      <c r="L264" s="265"/>
      <c r="M264" s="265"/>
      <c r="N264" s="384"/>
      <c r="O264" s="384"/>
      <c r="P264" s="215"/>
      <c r="Q264" s="215"/>
    </row>
    <row r="265" spans="1:17" ht="18" customHeight="1" x14ac:dyDescent="0.2">
      <c r="A265" s="896"/>
      <c r="B265" s="245"/>
      <c r="C265" s="265" t="s">
        <v>269</v>
      </c>
      <c r="D265" s="385"/>
      <c r="E265" s="386" t="s">
        <v>270</v>
      </c>
      <c r="F265" s="386" t="s">
        <v>271</v>
      </c>
      <c r="G265" s="386" t="s">
        <v>272</v>
      </c>
      <c r="H265" s="386" t="s">
        <v>273</v>
      </c>
      <c r="I265" s="384"/>
      <c r="J265" s="384"/>
      <c r="K265" s="384"/>
      <c r="L265" s="384"/>
      <c r="M265" s="384"/>
      <c r="N265" s="384"/>
      <c r="O265" s="384"/>
      <c r="P265" s="215"/>
      <c r="Q265" s="215"/>
    </row>
    <row r="266" spans="1:17" ht="18" customHeight="1" x14ac:dyDescent="0.2">
      <c r="A266" s="461"/>
      <c r="B266" s="245"/>
      <c r="C266" s="265"/>
      <c r="D266" s="265"/>
      <c r="E266" s="387"/>
      <c r="F266" s="265"/>
      <c r="G266" s="385"/>
      <c r="H266" s="265"/>
      <c r="I266" s="265"/>
      <c r="J266" s="265"/>
      <c r="K266" s="265"/>
      <c r="L266" s="388"/>
      <c r="M266" s="265"/>
      <c r="N266" s="384"/>
      <c r="O266" s="384"/>
      <c r="P266" s="215"/>
      <c r="Q266" s="215"/>
    </row>
    <row r="267" spans="1:17" ht="18" customHeight="1" x14ac:dyDescent="0.2">
      <c r="A267" s="896" t="str">
        <f>"SCAN"&amp;_xlfn.AGGREGATE(3,7,$B$251,$B$255,$B$259,$B$263)+1</f>
        <v>SCAN5</v>
      </c>
      <c r="B267" s="244" t="str">
        <f>"SCAN"&amp;_xlfn.AGGREGATE(3,7,$B$251,$B$255,$B$259,$B$263)+1</f>
        <v>SCAN5</v>
      </c>
      <c r="C267" s="307" t="str">
        <f>IF(DENDRO_IndexScanner=1,"STD4800","LA2400")</f>
        <v>STD4800</v>
      </c>
      <c r="D267" s="382" t="str">
        <f>IF(DENDRO_IndexScanner=1,"V850","Exp13000")</f>
        <v>V850</v>
      </c>
      <c r="E267" s="381"/>
      <c r="F267" s="307" t="s">
        <v>153</v>
      </c>
      <c r="G267" s="307" t="s">
        <v>719</v>
      </c>
      <c r="H267" s="37"/>
      <c r="I267" s="439" t="s">
        <v>311</v>
      </c>
      <c r="J267" s="383"/>
      <c r="K267" s="307" t="s">
        <v>153</v>
      </c>
      <c r="L267" s="265"/>
      <c r="M267" s="307"/>
      <c r="N267" s="384"/>
      <c r="O267" s="384"/>
      <c r="P267" s="215"/>
      <c r="Q267" s="215"/>
    </row>
    <row r="268" spans="1:17" ht="18" customHeight="1" x14ac:dyDescent="0.2">
      <c r="A268" s="896"/>
      <c r="B268" s="245"/>
      <c r="C268" s="307" t="s">
        <v>246</v>
      </c>
      <c r="D268" s="265"/>
      <c r="E268" s="307"/>
      <c r="F268" s="307" t="s">
        <v>247</v>
      </c>
      <c r="G268" s="265"/>
      <c r="H268" s="265"/>
      <c r="I268" s="307" t="str">
        <f>"☐ " &amp; IF(DENDRO_IndexScanner=1,
"Label ""STD4800 Scanner""",
"Label ""LA2400 Scanner""")</f>
        <v>☐ Label "STD4800 Scanner"</v>
      </c>
      <c r="J268" s="265"/>
      <c r="K268" s="265"/>
      <c r="L268" s="265"/>
      <c r="M268" s="265"/>
      <c r="N268" s="384"/>
      <c r="O268" s="384"/>
      <c r="P268" s="215"/>
      <c r="Q268" s="215"/>
    </row>
    <row r="269" spans="1:17" ht="18" customHeight="1" x14ac:dyDescent="0.2">
      <c r="A269" s="896"/>
      <c r="B269" s="245"/>
      <c r="C269" s="265" t="s">
        <v>269</v>
      </c>
      <c r="D269" s="385"/>
      <c r="E269" s="386" t="s">
        <v>270</v>
      </c>
      <c r="F269" s="386" t="s">
        <v>271</v>
      </c>
      <c r="G269" s="386" t="s">
        <v>272</v>
      </c>
      <c r="H269" s="386" t="s">
        <v>273</v>
      </c>
      <c r="I269" s="384"/>
      <c r="J269" s="384"/>
      <c r="K269" s="384"/>
      <c r="L269" s="384"/>
      <c r="M269" s="384"/>
      <c r="N269" s="384"/>
      <c r="O269" s="384"/>
      <c r="P269" s="215"/>
      <c r="Q269" s="215"/>
    </row>
    <row r="270" spans="1:17" ht="16.25" customHeight="1" x14ac:dyDescent="0.2">
      <c r="A270" s="463"/>
      <c r="B270" s="252"/>
      <c r="C270" s="389"/>
      <c r="D270" s="389"/>
      <c r="E270" s="389"/>
      <c r="F270" s="389"/>
      <c r="G270" s="389"/>
      <c r="H270" s="390"/>
      <c r="I270" s="389"/>
      <c r="J270" s="389"/>
      <c r="K270" s="390"/>
      <c r="L270" s="389"/>
      <c r="M270" s="389"/>
      <c r="N270" s="389"/>
      <c r="O270" s="384"/>
      <c r="P270" s="215"/>
      <c r="Q270" s="215"/>
    </row>
    <row r="271" spans="1:17" ht="18" customHeight="1" x14ac:dyDescent="0.2">
      <c r="A271" s="884" t="str">
        <f>"SCAN"&amp;_xlfn.AGGREGATE(3,7,$B$251,$B$255,$B$259,$B$263,$B$267)+1</f>
        <v>SCAN6</v>
      </c>
      <c r="B271" s="244" t="str">
        <f>"SCAN"&amp;_xlfn.AGGREGATE(3,7,$B$251,$B$255,$B$259,$B$263,$B$267)+1</f>
        <v>SCAN6</v>
      </c>
      <c r="C271" s="307" t="str">
        <f>IF(RHIZO_IndexScanner=1,"STD4800","LA2400")</f>
        <v>STD4800</v>
      </c>
      <c r="D271" s="382" t="str">
        <f>IF(RHIZO_IndexScanner=1,"V850","Exp13000")</f>
        <v>V850</v>
      </c>
      <c r="E271" s="381"/>
      <c r="F271" s="307" t="s">
        <v>153</v>
      </c>
      <c r="G271" s="307" t="s">
        <v>719</v>
      </c>
      <c r="H271" s="265"/>
      <c r="I271" s="439" t="s">
        <v>311</v>
      </c>
      <c r="J271" s="383"/>
      <c r="K271" s="307" t="s">
        <v>153</v>
      </c>
      <c r="L271" s="265"/>
      <c r="M271" s="307"/>
      <c r="N271" s="384"/>
      <c r="O271" s="384"/>
      <c r="P271" s="215"/>
      <c r="Q271" s="215"/>
    </row>
    <row r="272" spans="1:17" ht="18" customHeight="1" x14ac:dyDescent="0.2">
      <c r="A272" s="884"/>
      <c r="B272" s="244"/>
      <c r="C272" s="307" t="s">
        <v>246</v>
      </c>
      <c r="D272" s="265"/>
      <c r="E272" s="307" t="s">
        <v>247</v>
      </c>
      <c r="F272" s="265" t="s">
        <v>276</v>
      </c>
      <c r="G272" s="216"/>
      <c r="H272" s="265"/>
      <c r="I272" s="307" t="str">
        <f>IF(N("Ne pas afficher label du scanner dans section scanner si présent déjà dans posi")+RHIZO_PosiOrBlueBG_Checkbox=1,"",
"☐ " &amp; IF(RHIZO_IndexScanner=1,
"Label ""STD4800 Scanner""",
"Label ""LA2400 Scanner"""))</f>
        <v/>
      </c>
      <c r="J272" s="265"/>
      <c r="K272" s="265"/>
      <c r="L272" s="265"/>
      <c r="M272" s="265"/>
      <c r="N272" s="384"/>
      <c r="O272" s="384"/>
      <c r="P272" s="215"/>
      <c r="Q272" s="215"/>
    </row>
    <row r="273" spans="1:17" ht="18" customHeight="1" x14ac:dyDescent="0.2">
      <c r="A273" s="884"/>
      <c r="B273" s="244"/>
      <c r="C273" s="265" t="s">
        <v>269</v>
      </c>
      <c r="D273" s="385"/>
      <c r="E273" s="386" t="s">
        <v>270</v>
      </c>
      <c r="F273" s="386" t="s">
        <v>271</v>
      </c>
      <c r="G273" s="386" t="s">
        <v>272</v>
      </c>
      <c r="H273" s="386" t="s">
        <v>273</v>
      </c>
      <c r="I273" s="384"/>
      <c r="J273" s="384"/>
      <c r="K273" s="384"/>
      <c r="L273" s="384"/>
      <c r="M273" s="384"/>
      <c r="N273" s="384"/>
      <c r="O273" s="384"/>
      <c r="P273" s="215"/>
      <c r="Q273" s="215"/>
    </row>
    <row r="274" spans="1:17" ht="13.25" customHeight="1" x14ac:dyDescent="0.2">
      <c r="A274" s="463"/>
      <c r="B274" s="223"/>
      <c r="C274" s="307"/>
      <c r="D274" s="265"/>
      <c r="E274" s="265"/>
      <c r="F274" s="265"/>
      <c r="G274" s="265"/>
      <c r="H274" s="265"/>
      <c r="I274" s="265"/>
      <c r="J274" s="265"/>
      <c r="K274" s="265"/>
      <c r="L274" s="265"/>
      <c r="M274" s="265"/>
      <c r="N274" s="384"/>
      <c r="O274" s="384"/>
      <c r="P274" s="215"/>
      <c r="Q274" s="215"/>
    </row>
    <row r="275" spans="1:17" ht="18" customHeight="1" x14ac:dyDescent="0.2">
      <c r="A275" s="884" t="s">
        <v>268</v>
      </c>
      <c r="B275" s="245" t="s">
        <v>268</v>
      </c>
      <c r="C275" s="307" t="str">
        <f>"☐ " &amp; IF(RHIZO_IndexScanner=1,
"Root Posi. System STD, 1 de 3 (3 Trays, Label Water only, Spacers)",
"Root Posi. System LA, 1 de 3 (Blue BG, Frame, 5 Trays, Label Water only, Spacers)")</f>
        <v>☐ Root Posi. System STD, 1 de 3 (3 Trays, Label Water only, Spacers)</v>
      </c>
      <c r="D275" s="265"/>
      <c r="E275" s="385"/>
      <c r="F275" s="385"/>
      <c r="G275" s="216"/>
      <c r="H275" s="307" t="str">
        <f>"☐ " &amp; IF(RHIZO_IndexScanner=1,
"Root Posi. System STD, 2 de 3 (Blue BG, Frame)",
"Root Posi. System LA, 2 de 3 (8 Blocs de couleur)")</f>
        <v>☐ Root Posi. System STD, 2 de 3 (Blue BG, Frame)</v>
      </c>
      <c r="I275" s="216"/>
      <c r="J275" s="216"/>
      <c r="K275" s="307" t="str">
        <f>IF(AND(RHIZO_IndexScanner=2,NOT(RHIZO_ClientWithOrWithoutScanner_ChkBox)),
"☐ Velcros pour TPU pin","")</f>
        <v/>
      </c>
      <c r="L275" s="385"/>
      <c r="M275" s="385"/>
      <c r="N275" s="384"/>
      <c r="O275" s="384"/>
      <c r="P275" s="215"/>
      <c r="Q275" s="215"/>
    </row>
    <row r="276" spans="1:17" ht="18" customHeight="1" x14ac:dyDescent="0.2">
      <c r="A276" s="884"/>
      <c r="B276" s="215"/>
      <c r="C276" s="307" t="str">
        <f>IF(RHIZO_IndexScanner=1,
"☐ Root Posi. System STD, 3 de 3 (4 Blocs couleur, Accessories Holder STD)",
"☐ Root Posi. System LA, 3 de 3 (Accessories Holder LA)")</f>
        <v>☐ Root Posi. System STD, 3 de 3 (4 Blocs couleur, Accessories Holder STD)</v>
      </c>
      <c r="D276" s="385"/>
      <c r="E276" s="265"/>
      <c r="F276" s="265"/>
      <c r="G276" s="216"/>
      <c r="H276" s="265"/>
      <c r="I276" s="307" t="str">
        <f>"☐ " &amp; IF(RHIZO_IndexScanner=1,
"Label ""STD4800 Scanner""",
"Label ""LA2400 Scanner""")</f>
        <v>☐ Label "STD4800 Scanner"</v>
      </c>
      <c r="J276" s="385"/>
      <c r="K276" s="307" t="str">
        <f>"☐ " &amp; "Label ""Scanner Not Waterproof"""</f>
        <v>☐ Label "Scanner Not Waterproof"</v>
      </c>
      <c r="L276" s="385"/>
      <c r="M276" s="385"/>
      <c r="N276" s="384"/>
      <c r="O276" s="384"/>
      <c r="P276" s="215"/>
      <c r="Q276" s="215"/>
    </row>
    <row r="277" spans="1:17" ht="18" customHeight="1" x14ac:dyDescent="0.2">
      <c r="A277" s="462"/>
      <c r="B277" s="215"/>
      <c r="C277" s="307"/>
      <c r="D277" s="265"/>
      <c r="E277" s="265"/>
      <c r="F277" s="385"/>
      <c r="G277" s="384"/>
      <c r="H277" s="384"/>
      <c r="I277" s="385"/>
      <c r="J277" s="385"/>
      <c r="K277" s="386"/>
      <c r="L277" s="265"/>
      <c r="M277" s="265"/>
      <c r="N277" s="384"/>
      <c r="O277" s="384"/>
      <c r="P277" s="215"/>
      <c r="Q277" s="215"/>
    </row>
    <row r="278" spans="1:17" ht="16.25" customHeight="1" x14ac:dyDescent="0.2">
      <c r="A278" s="898" t="str">
        <f>"SCAN"&amp;_xlfn.AGGREGATE(3,7,$B$251,$B$255,$B$259,$B$263,$B$267,$B$271)+1</f>
        <v>SCAN7</v>
      </c>
      <c r="B278" s="244" t="str">
        <f>"SCAN"&amp;_xlfn.AGGREGATE(3,7,$B$251,$B$255,$B$259,$B$263,$B$267,$B$271)+1</f>
        <v>SCAN7</v>
      </c>
      <c r="C278" s="307" t="str">
        <f>IF(RHIZO_IndexScanner=1,"STD4800","LA2400")</f>
        <v>STD4800</v>
      </c>
      <c r="D278" s="382" t="str">
        <f>IF(RHIZO_IndexScanner=1,"V850","Exp13000")</f>
        <v>V850</v>
      </c>
      <c r="E278" s="381"/>
      <c r="F278" s="307" t="s">
        <v>153</v>
      </c>
      <c r="G278" s="307" t="s">
        <v>719</v>
      </c>
      <c r="H278" s="265"/>
      <c r="I278" s="439" t="s">
        <v>311</v>
      </c>
      <c r="J278" s="383"/>
      <c r="K278" s="307" t="s">
        <v>153</v>
      </c>
      <c r="L278" s="265"/>
      <c r="M278" s="307"/>
      <c r="N278" s="384"/>
      <c r="O278" s="384"/>
      <c r="P278" s="215"/>
      <c r="Q278" s="215"/>
    </row>
    <row r="279" spans="1:17" ht="16.25" customHeight="1" x14ac:dyDescent="0.2">
      <c r="A279" s="898"/>
      <c r="B279" s="244"/>
      <c r="C279" s="307" t="s">
        <v>246</v>
      </c>
      <c r="D279" s="265"/>
      <c r="E279" s="307" t="s">
        <v>247</v>
      </c>
      <c r="F279" s="265" t="s">
        <v>276</v>
      </c>
      <c r="G279" s="216"/>
      <c r="H279" s="265"/>
      <c r="I279" s="307" t="str">
        <f>IF(N("Ne pas afficher label du scanner dans section scanner si présent déjà dans posi")+RHIZO_PosiOrBlueBG_Checkbox=1,"",
"☐ " &amp; IF(RHIZO_IndexScanner=1,
"Label ""STD4800 Scanner""",
"Label ""LA2400 Scanner"""))</f>
        <v/>
      </c>
      <c r="J279" s="265"/>
      <c r="K279" s="265"/>
      <c r="L279" s="265"/>
      <c r="M279" s="265"/>
      <c r="N279" s="384"/>
      <c r="O279" s="384"/>
      <c r="P279" s="215"/>
      <c r="Q279" s="215"/>
    </row>
    <row r="280" spans="1:17" ht="18" customHeight="1" x14ac:dyDescent="0.2">
      <c r="A280" s="898"/>
      <c r="B280" s="244"/>
      <c r="C280" s="265" t="s">
        <v>269</v>
      </c>
      <c r="D280" s="385"/>
      <c r="E280" s="386" t="s">
        <v>270</v>
      </c>
      <c r="F280" s="386" t="s">
        <v>271</v>
      </c>
      <c r="G280" s="386" t="s">
        <v>272</v>
      </c>
      <c r="H280" s="386" t="s">
        <v>273</v>
      </c>
      <c r="I280" s="384"/>
      <c r="J280" s="384"/>
      <c r="K280" s="384"/>
      <c r="L280" s="384"/>
      <c r="M280" s="384"/>
      <c r="N280" s="384"/>
      <c r="O280" s="384"/>
      <c r="P280" s="215"/>
      <c r="Q280" s="215"/>
    </row>
    <row r="281" spans="1:17" ht="13.25" customHeight="1" x14ac:dyDescent="0.2">
      <c r="A281" s="463"/>
      <c r="B281" s="223"/>
      <c r="C281" s="307"/>
      <c r="D281" s="265"/>
      <c r="E281" s="265"/>
      <c r="F281" s="265"/>
      <c r="G281" s="265"/>
      <c r="H281" s="265"/>
      <c r="I281" s="265"/>
      <c r="J281" s="265"/>
      <c r="K281" s="265"/>
      <c r="L281" s="265"/>
      <c r="M281" s="265"/>
      <c r="N281" s="384"/>
      <c r="O281" s="384"/>
      <c r="P281" s="215"/>
      <c r="Q281" s="215"/>
    </row>
    <row r="282" spans="1:17" ht="18" customHeight="1" x14ac:dyDescent="0.2">
      <c r="A282" s="884" t="s">
        <v>268</v>
      </c>
      <c r="B282" s="245" t="s">
        <v>268</v>
      </c>
      <c r="C282" s="307" t="str">
        <f>"☐ " &amp; IF(RHIZO_IndexScanner=1,
"Root Posi. System STD, 1 de 3 (3 Trays, Label Water only, Spacers)",
"Root Posi. System LA, 1 de 3 (Blue BG, Frame, 5 Trays, Label Water only, Spacers)")</f>
        <v>☐ Root Posi. System STD, 1 de 3 (3 Trays, Label Water only, Spacers)</v>
      </c>
      <c r="D282" s="265"/>
      <c r="E282" s="385"/>
      <c r="F282" s="385"/>
      <c r="G282" s="216"/>
      <c r="H282" s="307" t="str">
        <f>"☐ " &amp; IF(RHIZO_IndexScanner=1,
"Root Posi. System STD, 2 de 3 (Blue BG, Frame)",
"Root Posi. System LA, 2 de 3 (8 Blocs de couleur)")</f>
        <v>☐ Root Posi. System STD, 2 de 3 (Blue BG, Frame)</v>
      </c>
      <c r="I282" s="216"/>
      <c r="J282" s="216"/>
      <c r="K282" s="307" t="str">
        <f>IF(AND(RHIZO_IndexScanner=2,NOT(RHIZO_ClientWithOrWithoutScanner_ChkBox)),
"☐ Velcros pour TPU pin","")</f>
        <v/>
      </c>
      <c r="L282" s="385"/>
      <c r="M282" s="385"/>
      <c r="N282" s="384"/>
      <c r="O282" s="384"/>
      <c r="P282" s="215"/>
      <c r="Q282" s="215"/>
    </row>
    <row r="283" spans="1:17" ht="16.25" customHeight="1" x14ac:dyDescent="0.2">
      <c r="A283" s="884"/>
      <c r="B283" s="215"/>
      <c r="C283" s="307" t="str">
        <f>IF(RHIZO_IndexScanner=1,
"☐ Root Posi. System STD, 3 de 3 (4 Blocs couleur, Accessories Holder STD)",
"☐ Root Posi. System LA, 3 de 3 (Accessories Holder LA)")</f>
        <v>☐ Root Posi. System STD, 3 de 3 (4 Blocs couleur, Accessories Holder STD)</v>
      </c>
      <c r="D283" s="385"/>
      <c r="E283" s="265"/>
      <c r="F283" s="265"/>
      <c r="G283" s="216"/>
      <c r="H283" s="265"/>
      <c r="I283" s="307" t="str">
        <f>"☐ " &amp; IF(RHIZO_IndexScanner=1,
"Label ""STD4800 Scanner""",
"Label ""LA2400 Scanner""")</f>
        <v>☐ Label "STD4800 Scanner"</v>
      </c>
      <c r="J283" s="385"/>
      <c r="K283" s="307" t="str">
        <f>"☐ " &amp; "Label ""Scanner Not Waterproof"""</f>
        <v>☐ Label "Scanner Not Waterproof"</v>
      </c>
      <c r="L283" s="385"/>
      <c r="M283" s="385"/>
      <c r="N283" s="384"/>
      <c r="O283" s="384"/>
      <c r="P283" s="215"/>
      <c r="Q283" s="215"/>
    </row>
    <row r="284" spans="1:17" ht="18" customHeight="1" x14ac:dyDescent="0.2">
      <c r="A284" s="462"/>
      <c r="B284" s="215"/>
      <c r="C284" s="307"/>
      <c r="D284" s="265"/>
      <c r="E284" s="265"/>
      <c r="F284" s="385"/>
      <c r="G284" s="384"/>
      <c r="H284" s="384"/>
      <c r="I284" s="385"/>
      <c r="J284" s="385"/>
      <c r="K284" s="386"/>
      <c r="L284" s="265"/>
      <c r="M284" s="265"/>
      <c r="N284" s="384"/>
      <c r="O284" s="384"/>
      <c r="P284" s="215"/>
      <c r="Q284" s="215"/>
    </row>
    <row r="285" spans="1:17" ht="16.25" customHeight="1" x14ac:dyDescent="0.2">
      <c r="A285" s="898" t="str">
        <f>"SCAN"&amp;_xlfn.AGGREGATE(3,7,$B$251,$B$255,$B$259,$B$263,$B$267,$B$271,$B$278)+1</f>
        <v>SCAN8</v>
      </c>
      <c r="B285" s="244" t="str">
        <f>"SCAN"&amp;_xlfn.AGGREGATE(3,7,$B$251,$B$255,$B$259,$B$263,$B$267,$B$271,$B$278)+1</f>
        <v>SCAN8</v>
      </c>
      <c r="C285" s="307" t="str">
        <f>IF(RHIZO_IndexScanner=1,"STD4800","LA2400")</f>
        <v>STD4800</v>
      </c>
      <c r="D285" s="382" t="str">
        <f>IF(RHIZO_IndexScanner=1,"V850","Exp13000")</f>
        <v>V850</v>
      </c>
      <c r="E285" s="381"/>
      <c r="F285" s="307" t="s">
        <v>153</v>
      </c>
      <c r="G285" s="307" t="s">
        <v>719</v>
      </c>
      <c r="H285" s="265"/>
      <c r="I285" s="439" t="s">
        <v>311</v>
      </c>
      <c r="J285" s="383"/>
      <c r="K285" s="307" t="s">
        <v>153</v>
      </c>
      <c r="L285" s="265"/>
      <c r="M285" s="307"/>
      <c r="N285" s="384"/>
      <c r="O285" s="384"/>
      <c r="P285" s="215"/>
      <c r="Q285" s="215"/>
    </row>
    <row r="286" spans="1:17" ht="16.25" customHeight="1" x14ac:dyDescent="0.2">
      <c r="A286" s="898"/>
      <c r="B286" s="244"/>
      <c r="C286" s="307" t="s">
        <v>246</v>
      </c>
      <c r="D286" s="265"/>
      <c r="E286" s="307" t="s">
        <v>247</v>
      </c>
      <c r="F286" s="265" t="s">
        <v>276</v>
      </c>
      <c r="G286" s="216"/>
      <c r="H286" s="265"/>
      <c r="I286" s="307" t="str">
        <f>IF(N("Ne pas afficher label du scanner dans section scanner si présent déjà dans posi")+RHIZO_PosiOrBlueBG_Checkbox=1,"",
"☐ " &amp; IF(RHIZO_IndexScanner=1,
"Label ""STD4800 Scanner""",
"Label ""LA2400 Scanner"""))</f>
        <v/>
      </c>
      <c r="J286" s="265"/>
      <c r="K286" s="265"/>
      <c r="L286" s="265"/>
      <c r="M286" s="265"/>
      <c r="N286" s="384"/>
      <c r="O286" s="384"/>
      <c r="P286" s="215"/>
      <c r="Q286" s="215"/>
    </row>
    <row r="287" spans="1:17" ht="18" customHeight="1" x14ac:dyDescent="0.2">
      <c r="A287" s="898"/>
      <c r="B287" s="244"/>
      <c r="C287" s="265" t="s">
        <v>269</v>
      </c>
      <c r="D287" s="385"/>
      <c r="E287" s="386" t="s">
        <v>270</v>
      </c>
      <c r="F287" s="386" t="s">
        <v>271</v>
      </c>
      <c r="G287" s="386" t="s">
        <v>272</v>
      </c>
      <c r="H287" s="386" t="s">
        <v>273</v>
      </c>
      <c r="I287" s="384"/>
      <c r="J287" s="384"/>
      <c r="K287" s="384"/>
      <c r="L287" s="384"/>
      <c r="M287" s="384"/>
      <c r="N287" s="384"/>
      <c r="O287" s="384"/>
      <c r="P287" s="215"/>
      <c r="Q287" s="215"/>
    </row>
    <row r="288" spans="1:17" ht="13.25" customHeight="1" x14ac:dyDescent="0.2">
      <c r="A288" s="463"/>
      <c r="B288" s="223"/>
      <c r="C288" s="307"/>
      <c r="D288" s="265"/>
      <c r="E288" s="265"/>
      <c r="F288" s="265"/>
      <c r="G288" s="265"/>
      <c r="H288" s="265"/>
      <c r="I288" s="265"/>
      <c r="J288" s="265"/>
      <c r="K288" s="265"/>
      <c r="L288" s="265"/>
      <c r="M288" s="265"/>
      <c r="N288" s="384"/>
      <c r="O288" s="384"/>
      <c r="P288" s="215"/>
      <c r="Q288" s="215"/>
    </row>
    <row r="289" spans="1:17" ht="18" customHeight="1" x14ac:dyDescent="0.2">
      <c r="A289" s="884" t="s">
        <v>268</v>
      </c>
      <c r="B289" s="245" t="s">
        <v>268</v>
      </c>
      <c r="C289" s="307" t="str">
        <f>"☐ " &amp; IF(RHIZO_IndexScanner=1,
"Root Posi. System STD, 1 de 3 (3 Trays, Label Water only, Spacers)",
"Root Posi. System LA, 1 de 3 (Blue BG, Frame, 5 Trays, Label Water only, Spacers)")</f>
        <v>☐ Root Posi. System STD, 1 de 3 (3 Trays, Label Water only, Spacers)</v>
      </c>
      <c r="D289" s="265"/>
      <c r="E289" s="385"/>
      <c r="F289" s="385"/>
      <c r="G289" s="216"/>
      <c r="H289" s="307" t="str">
        <f>"☐ " &amp; IF(RHIZO_IndexScanner=1,
"Root Posi. System STD, 2 de 3 (Blue BG, Frame)",
"Root Posi. System LA, 2 de 3 (8 Blocs de couleur)")</f>
        <v>☐ Root Posi. System STD, 2 de 3 (Blue BG, Frame)</v>
      </c>
      <c r="I289" s="216"/>
      <c r="J289" s="216"/>
      <c r="K289" s="307" t="str">
        <f>IF(AND(RHIZO_IndexScanner=2,NOT(RHIZO_ClientWithOrWithoutScanner_ChkBox)),
"☐ Velcros pour TPU pin","")</f>
        <v/>
      </c>
      <c r="L289" s="216"/>
      <c r="M289" s="216"/>
      <c r="N289" s="384"/>
      <c r="O289" s="384"/>
      <c r="P289" s="215"/>
      <c r="Q289" s="215"/>
    </row>
    <row r="290" spans="1:17" ht="16.25" customHeight="1" x14ac:dyDescent="0.2">
      <c r="A290" s="884"/>
      <c r="B290" s="215"/>
      <c r="C290" s="307" t="str">
        <f>IF(RHIZO_IndexScanner=1,
"☐ Root Posi. System STD, 3 de 3 (4 Blocs couleur, Accessories Holder STD)",
"☐ Root Posi. System LA, 3 de 3 (Accessories Holder LA)")</f>
        <v>☐ Root Posi. System STD, 3 de 3 (4 Blocs couleur, Accessories Holder STD)</v>
      </c>
      <c r="D290" s="385"/>
      <c r="E290" s="265"/>
      <c r="F290" s="265"/>
      <c r="G290" s="216"/>
      <c r="H290" s="265"/>
      <c r="I290" s="307" t="str">
        <f>"☐ " &amp; IF(RHIZO_IndexScanner=1,
"Label ""STD4800 Scanner""",
"Label ""LA2400 Scanner""")</f>
        <v>☐ Label "STD4800 Scanner"</v>
      </c>
      <c r="J290" s="385"/>
      <c r="K290" s="307" t="str">
        <f>"☐ " &amp; "Label ""Scanner Not Waterproof"""</f>
        <v>☐ Label "Scanner Not Waterproof"</v>
      </c>
      <c r="L290" s="385"/>
      <c r="M290" s="385"/>
      <c r="N290" s="384"/>
      <c r="O290" s="384"/>
      <c r="P290" s="215"/>
      <c r="Q290" s="215"/>
    </row>
    <row r="291" spans="1:17" ht="18" customHeight="1" x14ac:dyDescent="0.2">
      <c r="A291" s="462"/>
      <c r="B291" s="215"/>
      <c r="C291" s="307"/>
      <c r="D291" s="265"/>
      <c r="E291" s="265"/>
      <c r="F291" s="385"/>
      <c r="G291" s="384"/>
      <c r="H291" s="384"/>
      <c r="I291" s="385"/>
      <c r="J291" s="385"/>
      <c r="K291" s="386"/>
      <c r="L291" s="265"/>
      <c r="M291" s="265"/>
      <c r="N291" s="384"/>
      <c r="O291" s="384"/>
      <c r="P291" s="215"/>
      <c r="Q291" s="215"/>
    </row>
    <row r="292" spans="1:17" ht="16.25" customHeight="1" x14ac:dyDescent="0.2">
      <c r="A292" s="898" t="str">
        <f>"SCAN"&amp;_xlfn.AGGREGATE(3,7,$B$251,$B$255,$B$259,$B$263,$B$267,$B$271,$B$278,$B$285)+1</f>
        <v>SCAN9</v>
      </c>
      <c r="B292" s="244" t="str">
        <f>"SCAN"&amp;_xlfn.AGGREGATE(3,7,$B$251,$B$255,$B$259,$B$263,$B$267,$B$271,$B$278,$B$285)+1</f>
        <v>SCAN9</v>
      </c>
      <c r="C292" s="307" t="str">
        <f>IF(RHIZO_IndexScanner=1,"STD4800","LA2400")</f>
        <v>STD4800</v>
      </c>
      <c r="D292" s="382" t="str">
        <f>IF(RHIZO_IndexScanner=1,"V850","Exp13000")</f>
        <v>V850</v>
      </c>
      <c r="E292" s="381"/>
      <c r="F292" s="307" t="s">
        <v>153</v>
      </c>
      <c r="G292" s="307" t="s">
        <v>719</v>
      </c>
      <c r="H292" s="265"/>
      <c r="I292" s="439" t="s">
        <v>311</v>
      </c>
      <c r="J292" s="383"/>
      <c r="K292" s="307" t="s">
        <v>153</v>
      </c>
      <c r="L292" s="265"/>
      <c r="M292" s="307"/>
      <c r="N292" s="384"/>
      <c r="O292" s="384"/>
      <c r="P292" s="215"/>
      <c r="Q292" s="215"/>
    </row>
    <row r="293" spans="1:17" ht="16.25" customHeight="1" x14ac:dyDescent="0.2">
      <c r="A293" s="898"/>
      <c r="B293" s="244"/>
      <c r="C293" s="307" t="s">
        <v>246</v>
      </c>
      <c r="D293" s="265"/>
      <c r="E293" s="307" t="s">
        <v>247</v>
      </c>
      <c r="F293" s="265" t="s">
        <v>276</v>
      </c>
      <c r="G293" s="216"/>
      <c r="H293" s="265"/>
      <c r="I293" s="307" t="str">
        <f>IF(N("Ne pas afficher label du scanner dans section scanner si présent déjà dans posi")+RHIZO_PosiOrBlueBG_Checkbox=1,"",
"☐ " &amp; IF(RHIZO_IndexScanner=1,
"Label ""STD4800 Scanner""",
"Label ""LA2400 Scanner"""))</f>
        <v/>
      </c>
      <c r="J293" s="265"/>
      <c r="K293" s="265"/>
      <c r="L293" s="265"/>
      <c r="M293" s="265"/>
      <c r="N293" s="384"/>
      <c r="O293" s="384"/>
      <c r="P293" s="215"/>
      <c r="Q293" s="215"/>
    </row>
    <row r="294" spans="1:17" ht="18" customHeight="1" x14ac:dyDescent="0.2">
      <c r="A294" s="898"/>
      <c r="B294" s="244"/>
      <c r="C294" s="265" t="s">
        <v>269</v>
      </c>
      <c r="D294" s="385"/>
      <c r="E294" s="386" t="s">
        <v>270</v>
      </c>
      <c r="F294" s="386" t="s">
        <v>271</v>
      </c>
      <c r="G294" s="386" t="s">
        <v>272</v>
      </c>
      <c r="H294" s="386" t="s">
        <v>273</v>
      </c>
      <c r="I294" s="384"/>
      <c r="J294" s="384"/>
      <c r="K294" s="384"/>
      <c r="L294" s="384"/>
      <c r="M294" s="384"/>
      <c r="N294" s="384"/>
      <c r="O294" s="384"/>
      <c r="P294" s="215"/>
      <c r="Q294" s="215"/>
    </row>
    <row r="295" spans="1:17" ht="13.25" customHeight="1" x14ac:dyDescent="0.2">
      <c r="A295" s="463"/>
      <c r="B295" s="223"/>
      <c r="C295" s="307"/>
      <c r="D295" s="265"/>
      <c r="E295" s="265"/>
      <c r="F295" s="265"/>
      <c r="G295" s="265"/>
      <c r="H295" s="265"/>
      <c r="I295" s="265"/>
      <c r="J295" s="265"/>
      <c r="K295" s="265"/>
      <c r="L295" s="265"/>
      <c r="M295" s="265"/>
      <c r="N295" s="384"/>
      <c r="O295" s="384"/>
      <c r="P295" s="215"/>
      <c r="Q295" s="215"/>
    </row>
    <row r="296" spans="1:17" ht="18" customHeight="1" x14ac:dyDescent="0.2">
      <c r="A296" s="884" t="s">
        <v>268</v>
      </c>
      <c r="B296" s="245" t="s">
        <v>268</v>
      </c>
      <c r="C296" s="307" t="str">
        <f>"☐ " &amp; IF(RHIZO_IndexScanner=1,
"Root Posi. System STD, 1 de 3 (3 Trays, Label Water only, Spacers)",
"Root Posi. System LA, 1 de 3 (Blue BG, Frame, 5 Trays, Label Water only, Spacers)")</f>
        <v>☐ Root Posi. System STD, 1 de 3 (3 Trays, Label Water only, Spacers)</v>
      </c>
      <c r="D296" s="265"/>
      <c r="E296" s="385"/>
      <c r="F296" s="385"/>
      <c r="G296" s="216"/>
      <c r="H296" s="307" t="str">
        <f>"☐ " &amp; IF(RHIZO_IndexScanner=1,
"Root Posi. System STD, 2 de 3 (Blue BG, Frame)",
"Root Posi. System LA, 2 de 3 (8 Blocs de couleur)")</f>
        <v>☐ Root Posi. System STD, 2 de 3 (Blue BG, Frame)</v>
      </c>
      <c r="I296" s="216"/>
      <c r="J296" s="216"/>
      <c r="K296" s="307" t="str">
        <f>IF(AND(RHIZO_IndexScanner=2,NOT(RHIZO_ClientWithOrWithoutScanner_ChkBox)),
"☐ Velcros pour TPU pin","")</f>
        <v/>
      </c>
      <c r="L296" s="385"/>
      <c r="M296" s="385"/>
      <c r="N296" s="384"/>
      <c r="O296" s="384"/>
      <c r="P296" s="215"/>
      <c r="Q296" s="215"/>
    </row>
    <row r="297" spans="1:17" ht="16.25" customHeight="1" x14ac:dyDescent="0.2">
      <c r="A297" s="884"/>
      <c r="B297" s="215"/>
      <c r="C297" s="307" t="str">
        <f>IF(RHIZO_IndexScanner=1,
"☐ Root Posi. System STD, 3 de 3 (4 Blocs couleur, Accessories Holder STD)",
"☐ Root Posi. System LA, 3 de 3 (Accessories Holder LA)")</f>
        <v>☐ Root Posi. System STD, 3 de 3 (4 Blocs couleur, Accessories Holder STD)</v>
      </c>
      <c r="D297" s="385"/>
      <c r="E297" s="265"/>
      <c r="F297" s="265"/>
      <c r="G297" s="216"/>
      <c r="H297" s="265"/>
      <c r="I297" s="307" t="str">
        <f>"☐ " &amp; IF(RHIZO_IndexScanner=1,
"Label ""STD4800 Scanner""",
"Label ""LA2400 Scanner""")</f>
        <v>☐ Label "STD4800 Scanner"</v>
      </c>
      <c r="J297" s="385"/>
      <c r="K297" s="307" t="str">
        <f>"☐ " &amp; "Label ""Scanner Not Waterproof"""</f>
        <v>☐ Label "Scanner Not Waterproof"</v>
      </c>
      <c r="L297" s="385"/>
      <c r="M297" s="385"/>
      <c r="N297" s="384"/>
      <c r="O297" s="384"/>
      <c r="P297" s="215"/>
      <c r="Q297" s="215"/>
    </row>
    <row r="298" spans="1:17" ht="18" customHeight="1" x14ac:dyDescent="0.2">
      <c r="A298" s="462"/>
      <c r="B298" s="215"/>
      <c r="C298" s="307"/>
      <c r="D298" s="265"/>
      <c r="E298" s="265"/>
      <c r="F298" s="385"/>
      <c r="G298" s="384"/>
      <c r="H298" s="384"/>
      <c r="I298" s="385"/>
      <c r="J298" s="385"/>
      <c r="K298" s="386"/>
      <c r="L298" s="265"/>
      <c r="M298" s="265"/>
      <c r="N298" s="384"/>
      <c r="O298" s="384"/>
      <c r="P298" s="215"/>
      <c r="Q298" s="215"/>
    </row>
    <row r="299" spans="1:17" ht="16.25" customHeight="1" x14ac:dyDescent="0.2">
      <c r="A299" s="898" t="str">
        <f>"SCAN"&amp;_xlfn.AGGREGATE(3,7,$B$251,$B$255,$B$259,$B$263,$B$267,$B$271,$B$278,$B$285,$B$292)+1</f>
        <v>SCAN10</v>
      </c>
      <c r="B299" s="244" t="str">
        <f>"SCAN"&amp;_xlfn.AGGREGATE(3,7,$B$251,$B$255,$B$259,$B$263,$B$267,$B$271,$B$278,$B$285,$B$292)+1</f>
        <v>SCAN10</v>
      </c>
      <c r="C299" s="307" t="str">
        <f>IF(RHIZO_IndexScanner=1,"STD4800","LA2400")</f>
        <v>STD4800</v>
      </c>
      <c r="D299" s="382" t="str">
        <f>IF(RHIZO_IndexScanner=1,"V850","Exp13000")</f>
        <v>V850</v>
      </c>
      <c r="E299" s="381"/>
      <c r="F299" s="307" t="s">
        <v>153</v>
      </c>
      <c r="G299" s="307" t="s">
        <v>719</v>
      </c>
      <c r="H299" s="265"/>
      <c r="I299" s="439" t="s">
        <v>311</v>
      </c>
      <c r="J299" s="383"/>
      <c r="K299" s="307" t="s">
        <v>153</v>
      </c>
      <c r="L299" s="265"/>
      <c r="M299" s="307"/>
      <c r="N299" s="384"/>
      <c r="O299" s="384"/>
      <c r="P299" s="215"/>
      <c r="Q299" s="215"/>
    </row>
    <row r="300" spans="1:17" ht="16.25" customHeight="1" x14ac:dyDescent="0.2">
      <c r="A300" s="898"/>
      <c r="B300" s="244"/>
      <c r="C300" s="307" t="s">
        <v>246</v>
      </c>
      <c r="D300" s="265"/>
      <c r="E300" s="307" t="s">
        <v>247</v>
      </c>
      <c r="F300" s="265" t="s">
        <v>276</v>
      </c>
      <c r="G300" s="216"/>
      <c r="H300" s="265"/>
      <c r="I300" s="307" t="str">
        <f>IF(N("Ne pas afficher label du scanner dans section scanner si présent déjà dans posi")+RHIZO_PosiOrBlueBG_Checkbox=1,"",
"☐ " &amp; IF(RHIZO_IndexScanner=1,
"Label ""STD4800 Scanner""",
"Label ""LA2400 Scanner"""))</f>
        <v/>
      </c>
      <c r="J300" s="265"/>
      <c r="K300" s="265"/>
      <c r="L300" s="265"/>
      <c r="M300" s="265"/>
      <c r="N300" s="384"/>
      <c r="O300" s="384"/>
      <c r="P300" s="215"/>
      <c r="Q300" s="215"/>
    </row>
    <row r="301" spans="1:17" ht="18" customHeight="1" x14ac:dyDescent="0.2">
      <c r="A301" s="898"/>
      <c r="B301" s="244"/>
      <c r="C301" s="265" t="s">
        <v>269</v>
      </c>
      <c r="D301" s="385"/>
      <c r="E301" s="386" t="s">
        <v>270</v>
      </c>
      <c r="F301" s="386" t="s">
        <v>271</v>
      </c>
      <c r="G301" s="386" t="s">
        <v>272</v>
      </c>
      <c r="H301" s="386" t="s">
        <v>273</v>
      </c>
      <c r="I301" s="384"/>
      <c r="J301" s="384"/>
      <c r="K301" s="384"/>
      <c r="L301" s="384"/>
      <c r="M301" s="384"/>
      <c r="N301" s="384"/>
      <c r="O301" s="384"/>
      <c r="P301" s="215"/>
      <c r="Q301" s="215"/>
    </row>
    <row r="302" spans="1:17" ht="13.25" customHeight="1" x14ac:dyDescent="0.2">
      <c r="A302" s="463"/>
      <c r="B302" s="223"/>
      <c r="C302" s="307"/>
      <c r="D302" s="265"/>
      <c r="E302" s="265"/>
      <c r="F302" s="265"/>
      <c r="G302" s="265"/>
      <c r="H302" s="265"/>
      <c r="I302" s="265"/>
      <c r="J302" s="265"/>
      <c r="K302" s="265"/>
      <c r="L302" s="265"/>
      <c r="M302" s="265"/>
      <c r="N302" s="384"/>
      <c r="O302" s="384"/>
      <c r="P302" s="215"/>
      <c r="Q302" s="215"/>
    </row>
    <row r="303" spans="1:17" ht="18" customHeight="1" x14ac:dyDescent="0.2">
      <c r="A303" s="884" t="s">
        <v>268</v>
      </c>
      <c r="B303" s="245" t="s">
        <v>268</v>
      </c>
      <c r="C303" s="307" t="str">
        <f>"☐ " &amp; IF(RHIZO_IndexScanner=1,
"Root Posi. System STD, 1 de 3 (3 Trays, Label Water only, Spacers)",
"Root Posi. System LA, 1 de 3 (Blue BG, Frame, 5 Trays, Label Water only, Spacers)")</f>
        <v>☐ Root Posi. System STD, 1 de 3 (3 Trays, Label Water only, Spacers)</v>
      </c>
      <c r="D303" s="265"/>
      <c r="E303" s="385"/>
      <c r="F303" s="385"/>
      <c r="G303" s="216"/>
      <c r="H303" s="307" t="str">
        <f>"☐ " &amp; IF(RHIZO_IndexScanner=1,
"Root Posi. System STD, 2 de 3 (Blue BG, Frame)",
"Root Posi. System LA, 2 de 3 (8 Blocs de couleur)")</f>
        <v>☐ Root Posi. System STD, 2 de 3 (Blue BG, Frame)</v>
      </c>
      <c r="I303" s="216"/>
      <c r="J303" s="216"/>
      <c r="K303" s="307" t="str">
        <f>IF(AND(RHIZO_IndexScanner=2,NOT(RHIZO_ClientWithOrWithoutScanner_ChkBox)),
"☐ Velcros pour TPU pin","")</f>
        <v/>
      </c>
      <c r="L303" s="385"/>
      <c r="M303" s="385"/>
      <c r="N303" s="384"/>
      <c r="O303" s="384"/>
      <c r="P303" s="215"/>
      <c r="Q303" s="215"/>
    </row>
    <row r="304" spans="1:17" ht="16.25" customHeight="1" x14ac:dyDescent="0.2">
      <c r="A304" s="884"/>
      <c r="B304" s="215"/>
      <c r="C304" s="307" t="str">
        <f>IF(RHIZO_IndexScanner=1,
"☐ Root Posi. System STD, 3 de 3 (4 Blocs couleur, Accessories Holder STD)",
"☐ Root Posi. System LA, 3 de 3 (Accessories Holder LA)")</f>
        <v>☐ Root Posi. System STD, 3 de 3 (4 Blocs couleur, Accessories Holder STD)</v>
      </c>
      <c r="D304" s="385"/>
      <c r="E304" s="265"/>
      <c r="F304" s="265"/>
      <c r="G304" s="216"/>
      <c r="H304" s="265"/>
      <c r="I304" s="307" t="str">
        <f>"☐ " &amp; IF(RHIZO_IndexScanner=1,
"Label ""STD4800 Scanner""",
"Label ""LA2400 Scanner""")</f>
        <v>☐ Label "STD4800 Scanner"</v>
      </c>
      <c r="J304" s="385"/>
      <c r="K304" s="307" t="str">
        <f>"☐ " &amp; "Label ""Scanner Not Waterproof"""</f>
        <v>☐ Label "Scanner Not Waterproof"</v>
      </c>
      <c r="L304" s="385"/>
      <c r="M304" s="385"/>
      <c r="N304" s="384"/>
      <c r="O304" s="384"/>
      <c r="P304" s="215"/>
      <c r="Q304" s="215"/>
    </row>
    <row r="305" spans="1:17" ht="18" customHeight="1" x14ac:dyDescent="0.2">
      <c r="A305" s="464"/>
      <c r="B305" s="253"/>
      <c r="C305" s="391"/>
      <c r="D305" s="391"/>
      <c r="E305" s="391"/>
      <c r="F305" s="391"/>
      <c r="G305" s="391"/>
      <c r="H305" s="392"/>
      <c r="I305" s="391"/>
      <c r="J305" s="391"/>
      <c r="K305" s="392"/>
      <c r="L305" s="391"/>
      <c r="M305" s="391"/>
      <c r="N305" s="391"/>
      <c r="O305" s="384"/>
      <c r="P305" s="215"/>
      <c r="Q305" s="215"/>
    </row>
    <row r="306" spans="1:17" ht="18" customHeight="1" x14ac:dyDescent="0.2">
      <c r="A306" s="903" t="str">
        <f>"SCAN"&amp;_xlfn.AGGREGATE(3,7,$B$251,$B$255,$B$259,$B$263,$B$267,$B$271,$B$278,$B$285,$B$292,$B$299)+1</f>
        <v>SCAN11</v>
      </c>
      <c r="B306" s="244" t="str">
        <f>"SCAN"&amp;_xlfn.AGGREGATE(3,7,$B$251,$B$255,$B$259,$B$263,$B$267,$B$271,$B$278,$B$285,$B$292,$B$299)+1</f>
        <v>SCAN11</v>
      </c>
      <c r="C306" s="307" t="str">
        <f>IF(FOLIA_IndexScanner=1,"STD4800",IF(FOLIA_IndexScanner=2,"LA2400","LC4800P"))</f>
        <v>STD4800</v>
      </c>
      <c r="D306" s="382" t="str">
        <f>IF(FOLIA_IndexScanner=1,"V850",IF(FOLIA_IndexScanner=2,"Exp13000","V39 II"))</f>
        <v>V850</v>
      </c>
      <c r="E306" s="381"/>
      <c r="F306" s="307" t="str">
        <f>IF(C306&lt;&gt;"LC4800P","☐ Tête barrée","")</f>
        <v>☐ Tête barrée</v>
      </c>
      <c r="G306" s="307" t="s">
        <v>719</v>
      </c>
      <c r="H306" s="265"/>
      <c r="I306" s="439" t="str">
        <f>IF(C306&lt;&gt;"LC4800P","TPU  S/N","")</f>
        <v>TPU  S/N</v>
      </c>
      <c r="J306" s="383"/>
      <c r="K306" s="307" t="str">
        <f>IF(C306&lt;&gt;"LC4800P","☐ Tête barrée","")</f>
        <v>☐ Tête barrée</v>
      </c>
      <c r="L306" s="265"/>
      <c r="M306" s="307"/>
      <c r="N306" s="384"/>
      <c r="O306" s="384"/>
      <c r="P306" s="215"/>
      <c r="Q306" s="215"/>
    </row>
    <row r="307" spans="1:17" ht="18" customHeight="1" x14ac:dyDescent="0.2">
      <c r="A307" s="903"/>
      <c r="B307" s="244"/>
      <c r="C307" s="307" t="s">
        <v>246</v>
      </c>
      <c r="D307" s="265"/>
      <c r="E307" s="307"/>
      <c r="F307" s="307" t="str">
        <f>IF(FOLIA_PosiOrBlueBG_Checkbox,"☐ Fond Bleu " &amp; IF(FOLIA_IndexScanner=1,"STD",IF(FOLIA_IndexScanner=2,"LA","LC")),"")</f>
        <v>☐ Fond Bleu STD</v>
      </c>
      <c r="G307" s="307" t="str">
        <f>IF(C306&lt;&gt;"LC4800P","☐ Slides holders","")</f>
        <v>☐ Slides holders</v>
      </c>
      <c r="H307" s="265"/>
      <c r="I307" s="307" t="str">
        <f>"☐ " &amp; IF(FOLIA_IndexScanner=1,
"Label ""STD4800 Scanner""",
"Label ""LA2400 Scanner""")</f>
        <v>☐ Label "STD4800 Scanner"</v>
      </c>
      <c r="J307" s="216"/>
      <c r="K307" s="265"/>
      <c r="L307" s="265"/>
      <c r="M307" s="265"/>
      <c r="N307" s="384"/>
      <c r="O307" s="384"/>
      <c r="P307" s="215"/>
      <c r="Q307" s="215"/>
    </row>
    <row r="308" spans="1:17" ht="18" customHeight="1" x14ac:dyDescent="0.2">
      <c r="A308" s="903"/>
      <c r="B308" s="244"/>
      <c r="C308" s="265" t="str">
        <f>IF(C306&lt;&gt;"LC4800P","☐ 110V","")</f>
        <v>☐ 110V</v>
      </c>
      <c r="D308" s="385"/>
      <c r="E308" s="386" t="str">
        <f>IF(C306&lt;&gt;"LC4800P","220V : ☐ C","")</f>
        <v>220V : ☐ C</v>
      </c>
      <c r="F308" s="386" t="str">
        <f>IF(C306&lt;&gt;"LC4800P","☐ G","")</f>
        <v>☐ G</v>
      </c>
      <c r="G308" s="386" t="str">
        <f>IF(C306&lt;&gt;"LC4800P","☐ I","")</f>
        <v>☐ I</v>
      </c>
      <c r="H308" s="386" t="str">
        <f>IF(C306&lt;&gt;"LC4800P","☐ E","")</f>
        <v>☐ E</v>
      </c>
      <c r="I308" s="384"/>
      <c r="J308" s="384"/>
      <c r="K308" s="384"/>
      <c r="L308" s="384"/>
      <c r="M308" s="384"/>
      <c r="N308" s="384"/>
      <c r="O308" s="384"/>
      <c r="P308" s="215"/>
      <c r="Q308" s="215"/>
    </row>
    <row r="309" spans="1:17" ht="13.25" customHeight="1" x14ac:dyDescent="0.2">
      <c r="A309" s="465"/>
      <c r="B309" s="223"/>
      <c r="C309" s="307"/>
      <c r="D309" s="307"/>
      <c r="E309" s="307"/>
      <c r="F309" s="307"/>
      <c r="G309" s="307"/>
      <c r="H309" s="307"/>
      <c r="I309" s="307"/>
      <c r="J309" s="307"/>
      <c r="K309" s="307"/>
      <c r="L309" s="307"/>
      <c r="M309" s="265"/>
      <c r="N309" s="384"/>
      <c r="O309" s="384"/>
      <c r="P309" s="215"/>
      <c r="Q309" s="215"/>
    </row>
    <row r="310" spans="1:17" ht="18" customHeight="1" x14ac:dyDescent="0.2">
      <c r="A310" s="901" t="str">
        <f>"SCAN"&amp;_xlfn.AGGREGATE(3,7,$B$251,$B$255,$B$259,$B$263,$B$267,$B$271,$B$278,$B$285,$B$292,$B$299,$B$306)+1</f>
        <v>SCAN12</v>
      </c>
      <c r="B310" s="244" t="str">
        <f>"SCAN"&amp;_xlfn.AGGREGATE(3,7,$B$251,$B$255,$B$259,$B$263,$B$267,$B$271,$B$278,$B$285,$B$292,$B$299,$B$306)+1</f>
        <v>SCAN12</v>
      </c>
      <c r="C310" s="307" t="str">
        <f>IF(FOLIA_IndexScanner=1,"STD4800",IF(FOLIA_IndexScanner=2,"LA2400","LC4800P"))</f>
        <v>STD4800</v>
      </c>
      <c r="D310" s="382" t="str">
        <f>IF(FOLIA_IndexScanner=1,"V850",IF(FOLIA_IndexScanner=2,"Exp13000","V39 II"))</f>
        <v>V850</v>
      </c>
      <c r="E310" s="381"/>
      <c r="F310" s="307" t="str">
        <f>IF(C310&lt;&gt;"LC4800P","☐ Tête barrée","")</f>
        <v>☐ Tête barrée</v>
      </c>
      <c r="G310" s="307" t="s">
        <v>719</v>
      </c>
      <c r="H310" s="265"/>
      <c r="I310" s="439" t="str">
        <f>IF(C310&lt;&gt;"LC4800P","TPU  S/N","")</f>
        <v>TPU  S/N</v>
      </c>
      <c r="J310" s="383"/>
      <c r="K310" s="307" t="str">
        <f>IF(C310&lt;&gt;"LC4800P","☐ Tête barrée","")</f>
        <v>☐ Tête barrée</v>
      </c>
      <c r="L310" s="265"/>
      <c r="M310" s="307"/>
      <c r="N310" s="384"/>
      <c r="O310" s="384"/>
      <c r="P310" s="215"/>
      <c r="Q310" s="215"/>
    </row>
    <row r="311" spans="1:17" ht="18" customHeight="1" x14ac:dyDescent="0.2">
      <c r="A311" s="901"/>
      <c r="B311" s="244"/>
      <c r="C311" s="307" t="s">
        <v>246</v>
      </c>
      <c r="D311" s="265"/>
      <c r="E311" s="307"/>
      <c r="F311" s="307" t="str">
        <f>IF(FOLIA_PosiOrBlueBG_Checkbox,"☐ Fond Bleu " &amp; IF(FOLIA_IndexScanner=1,"STD",IF(FOLIA_IndexScanner=2,"LA","LC")),"")</f>
        <v>☐ Fond Bleu STD</v>
      </c>
      <c r="G311" s="307" t="str">
        <f>IF(C310&lt;&gt;"LC4800P","☐ Slides holders","")</f>
        <v>☐ Slides holders</v>
      </c>
      <c r="H311" s="265"/>
      <c r="I311" s="307" t="str">
        <f>"☐ " &amp; IF(FOLIA_IndexScanner=1,
"Label ""STD4800 Scanner""",
"Label ""LA2400 Scanner""")</f>
        <v>☐ Label "STD4800 Scanner"</v>
      </c>
      <c r="J311" s="307"/>
      <c r="K311" s="265"/>
      <c r="L311" s="265"/>
      <c r="M311" s="265"/>
      <c r="N311" s="384"/>
      <c r="O311" s="384"/>
      <c r="P311" s="215"/>
      <c r="Q311" s="215"/>
    </row>
    <row r="312" spans="1:17" ht="18" customHeight="1" x14ac:dyDescent="0.2">
      <c r="A312" s="901"/>
      <c r="B312" s="244"/>
      <c r="C312" s="265" t="str">
        <f>IF(C310&lt;&gt;"LC4800P","☐ 110V","")</f>
        <v>☐ 110V</v>
      </c>
      <c r="D312" s="385"/>
      <c r="E312" s="386" t="str">
        <f>IF(C310&lt;&gt;"LC4800P","220V : ☐ C","")</f>
        <v>220V : ☐ C</v>
      </c>
      <c r="F312" s="386" t="str">
        <f>IF(C310&lt;&gt;"LC4800P","☐ G","")</f>
        <v>☐ G</v>
      </c>
      <c r="G312" s="386" t="str">
        <f>IF(C310&lt;&gt;"LC4800P","☐ I","")</f>
        <v>☐ I</v>
      </c>
      <c r="H312" s="386" t="str">
        <f>IF(C310&lt;&gt;"LC4800P","☐ E","")</f>
        <v>☐ E</v>
      </c>
      <c r="I312" s="384"/>
      <c r="J312" s="384"/>
      <c r="K312" s="384"/>
      <c r="L312" s="384"/>
      <c r="M312" s="384"/>
      <c r="N312" s="384"/>
      <c r="O312" s="384"/>
      <c r="P312" s="215"/>
      <c r="Q312" s="215"/>
    </row>
    <row r="313" spans="1:17" ht="18" customHeight="1" x14ac:dyDescent="0.2">
      <c r="A313" s="465"/>
      <c r="B313" s="223"/>
      <c r="C313" s="307"/>
      <c r="D313" s="307"/>
      <c r="E313" s="307"/>
      <c r="F313" s="307"/>
      <c r="G313" s="307"/>
      <c r="H313" s="307"/>
      <c r="I313" s="307"/>
      <c r="J313" s="307"/>
      <c r="K313" s="307"/>
      <c r="L313" s="307"/>
      <c r="M313" s="265"/>
      <c r="N313" s="384"/>
      <c r="O313" s="384"/>
      <c r="P313" s="215"/>
      <c r="Q313" s="215"/>
    </row>
    <row r="314" spans="1:17" ht="18" customHeight="1" x14ac:dyDescent="0.2">
      <c r="A314" s="901" t="str">
        <f>"SCAN"&amp;_xlfn.AGGREGATE(3,7,$B$251,$B$255,$B$259,$B$263,$B$267,$B$271,$B$278,$B$285,$B$292,$B$299,$B$306,$B$310)+1</f>
        <v>SCAN13</v>
      </c>
      <c r="B314" s="244" t="str">
        <f>"SCAN"&amp;_xlfn.AGGREGATE(3,7,$B$251,$B$255,$B$259,$B$263,$B$267,$B$271,$B$278,$B$285,$B$292,$B$299,$B$306,$B$310)+1</f>
        <v>SCAN13</v>
      </c>
      <c r="C314" s="307" t="str">
        <f>IF(FOLIA_IndexScanner=1,"STD4800",IF(FOLIA_IndexScanner=2,"LA2400","LC4800P"))</f>
        <v>STD4800</v>
      </c>
      <c r="D314" s="382" t="str">
        <f>IF(FOLIA_IndexScanner=1,"V850",IF(FOLIA_IndexScanner=2,"Exp13000","V39 II"))</f>
        <v>V850</v>
      </c>
      <c r="E314" s="381"/>
      <c r="F314" s="307" t="str">
        <f>IF(C314&lt;&gt;"LC4800P","☐ Tête barrée","")</f>
        <v>☐ Tête barrée</v>
      </c>
      <c r="G314" s="307" t="s">
        <v>719</v>
      </c>
      <c r="H314" s="265"/>
      <c r="I314" s="439" t="str">
        <f>IF(C314&lt;&gt;"LC4800P","TPU  S/N","")</f>
        <v>TPU  S/N</v>
      </c>
      <c r="J314" s="383"/>
      <c r="K314" s="307" t="str">
        <f>IF(C314&lt;&gt;"LC4800P","☐ Tête barrée","")</f>
        <v>☐ Tête barrée</v>
      </c>
      <c r="L314" s="265"/>
      <c r="M314" s="307"/>
      <c r="N314" s="384"/>
      <c r="O314" s="384"/>
      <c r="P314" s="215"/>
      <c r="Q314" s="215"/>
    </row>
    <row r="315" spans="1:17" ht="18" customHeight="1" x14ac:dyDescent="0.2">
      <c r="A315" s="901"/>
      <c r="B315" s="244"/>
      <c r="C315" s="307" t="s">
        <v>246</v>
      </c>
      <c r="D315" s="265"/>
      <c r="E315" s="307"/>
      <c r="F315" s="307" t="str">
        <f>IF(FOLIA_PosiOrBlueBG_Checkbox,"☐ Fond Bleu " &amp; IF(FOLIA_IndexScanner=1,"STD",IF(FOLIA_IndexScanner=2,"LA","LC")),"")</f>
        <v>☐ Fond Bleu STD</v>
      </c>
      <c r="G315" s="307" t="str">
        <f>IF(C314&lt;&gt;"LC4800P","☐ Slides holders","")</f>
        <v>☐ Slides holders</v>
      </c>
      <c r="H315" s="265"/>
      <c r="I315" s="307" t="str">
        <f>"☐ " &amp; IF(FOLIA_IndexScanner=1,
"Label ""STD4800 Scanner""",
"Label ""LA2400 Scanner""")</f>
        <v>☐ Label "STD4800 Scanner"</v>
      </c>
      <c r="J315" s="307"/>
      <c r="K315" s="265"/>
      <c r="L315" s="265"/>
      <c r="M315" s="265"/>
      <c r="N315" s="384"/>
      <c r="O315" s="384"/>
      <c r="P315" s="215"/>
      <c r="Q315" s="215"/>
    </row>
    <row r="316" spans="1:17" ht="18" customHeight="1" x14ac:dyDescent="0.2">
      <c r="A316" s="901"/>
      <c r="B316" s="244"/>
      <c r="C316" s="265" t="str">
        <f>IF(C314&lt;&gt;"LC4800P","☐ 110V","")</f>
        <v>☐ 110V</v>
      </c>
      <c r="D316" s="385"/>
      <c r="E316" s="386" t="str">
        <f>IF(C314&lt;&gt;"LC4800P","220V : ☐ C","")</f>
        <v>220V : ☐ C</v>
      </c>
      <c r="F316" s="386" t="str">
        <f>IF(C314&lt;&gt;"LC4800P","☐ G","")</f>
        <v>☐ G</v>
      </c>
      <c r="G316" s="386" t="str">
        <f>IF(C314&lt;&gt;"LC4800P","☐ I","")</f>
        <v>☐ I</v>
      </c>
      <c r="H316" s="386" t="str">
        <f>IF(C314&lt;&gt;"LC4800P","☐ E","")</f>
        <v>☐ E</v>
      </c>
      <c r="I316" s="384"/>
      <c r="J316" s="384"/>
      <c r="K316" s="384"/>
      <c r="L316" s="384"/>
      <c r="M316" s="384"/>
      <c r="N316" s="384"/>
      <c r="O316" s="384"/>
      <c r="P316" s="215"/>
      <c r="Q316" s="215"/>
    </row>
    <row r="317" spans="1:17" ht="18" customHeight="1" x14ac:dyDescent="0.2">
      <c r="A317" s="465"/>
      <c r="B317" s="223"/>
      <c r="C317" s="307"/>
      <c r="D317" s="307"/>
      <c r="E317" s="307"/>
      <c r="F317" s="307"/>
      <c r="G317" s="307"/>
      <c r="H317" s="307"/>
      <c r="I317" s="307"/>
      <c r="J317" s="307"/>
      <c r="K317" s="307"/>
      <c r="L317" s="307"/>
      <c r="M317" s="265"/>
      <c r="N317" s="384"/>
      <c r="O317" s="384"/>
      <c r="P317" s="215"/>
      <c r="Q317" s="215"/>
    </row>
    <row r="318" spans="1:17" ht="18" customHeight="1" x14ac:dyDescent="0.2">
      <c r="A318" s="901" t="str">
        <f>"SCAN"&amp;_xlfn.AGGREGATE(3,7,$B$251,$B$255,$B$259,$B$263,$B$267,$B$271,$B$278,$B$285,$B$292,$B$299,$B$306,$B$310,$B$314)+1</f>
        <v>SCAN14</v>
      </c>
      <c r="B318" s="244" t="str">
        <f>"SCAN"&amp;_xlfn.AGGREGATE(3,7,$B$251,$B$255,$B$259,$B$263,$B$267,$B$271,$B$278,$B$285,$B$292,$B$299,$B$306,$B$310,$B$314)+1</f>
        <v>SCAN14</v>
      </c>
      <c r="C318" s="307" t="str">
        <f>IF(FOLIA_IndexScanner=1,"STD4800",IF(FOLIA_IndexScanner=2,"LA2400","LC4800P"))</f>
        <v>STD4800</v>
      </c>
      <c r="D318" s="382" t="str">
        <f>IF(FOLIA_IndexScanner=1,"V850",IF(FOLIA_IndexScanner=2,"Exp13000","V39 II"))</f>
        <v>V850</v>
      </c>
      <c r="E318" s="381"/>
      <c r="F318" s="307" t="str">
        <f>IF(C318&lt;&gt;"LC4800P","☐ Tête barrée","")</f>
        <v>☐ Tête barrée</v>
      </c>
      <c r="G318" s="307" t="s">
        <v>719</v>
      </c>
      <c r="H318" s="265"/>
      <c r="I318" s="439" t="str">
        <f>IF(C318&lt;&gt;"LC4800P","TPU  S/N","")</f>
        <v>TPU  S/N</v>
      </c>
      <c r="J318" s="383"/>
      <c r="K318" s="307" t="str">
        <f>IF(C318&lt;&gt;"LC4800P","☐ Tête barrée","")</f>
        <v>☐ Tête barrée</v>
      </c>
      <c r="L318" s="265"/>
      <c r="M318" s="307"/>
      <c r="N318" s="384"/>
      <c r="O318" s="384"/>
      <c r="P318" s="215"/>
      <c r="Q318" s="215"/>
    </row>
    <row r="319" spans="1:17" ht="18" customHeight="1" x14ac:dyDescent="0.2">
      <c r="A319" s="901"/>
      <c r="B319" s="244"/>
      <c r="C319" s="307" t="s">
        <v>246</v>
      </c>
      <c r="D319" s="265"/>
      <c r="E319" s="307"/>
      <c r="F319" s="307" t="str">
        <f>IF(FOLIA_PosiOrBlueBG_Checkbox,"☐ Fond Bleu " &amp; IF(FOLIA_IndexScanner=1,"STD",IF(FOLIA_IndexScanner=2,"LA","LC")),"")</f>
        <v>☐ Fond Bleu STD</v>
      </c>
      <c r="G319" s="307" t="str">
        <f>IF(C318&lt;&gt;"LC4800P","☐ Slides holders","")</f>
        <v>☐ Slides holders</v>
      </c>
      <c r="H319" s="265"/>
      <c r="I319" s="307" t="str">
        <f>"☐ " &amp; IF(FOLIA_IndexScanner=1,
"Label ""STD4800 Scanner""",
"Label ""LA2400 Scanner""")</f>
        <v>☐ Label "STD4800 Scanner"</v>
      </c>
      <c r="J319" s="307"/>
      <c r="K319" s="265"/>
      <c r="L319" s="265"/>
      <c r="M319" s="265"/>
      <c r="N319" s="384"/>
      <c r="O319" s="384"/>
      <c r="P319" s="215"/>
      <c r="Q319" s="215"/>
    </row>
    <row r="320" spans="1:17" ht="18" customHeight="1" x14ac:dyDescent="0.2">
      <c r="A320" s="901"/>
      <c r="B320" s="244"/>
      <c r="C320" s="265" t="str">
        <f>IF(C318&lt;&gt;"LC4800P","☐ 110V","")</f>
        <v>☐ 110V</v>
      </c>
      <c r="D320" s="385"/>
      <c r="E320" s="386" t="str">
        <f>IF(C318&lt;&gt;"LC4800P","220V : ☐ C","")</f>
        <v>220V : ☐ C</v>
      </c>
      <c r="F320" s="386" t="str">
        <f>IF(C318&lt;&gt;"LC4800P","☐ G","")</f>
        <v>☐ G</v>
      </c>
      <c r="G320" s="386" t="str">
        <f>IF(C318&lt;&gt;"LC4800P","☐ I","")</f>
        <v>☐ I</v>
      </c>
      <c r="H320" s="386" t="str">
        <f>IF(C318&lt;&gt;"LC4800P","☐ E","")</f>
        <v>☐ E</v>
      </c>
      <c r="I320" s="384"/>
      <c r="J320" s="384"/>
      <c r="K320" s="384"/>
      <c r="L320" s="384"/>
      <c r="M320" s="384"/>
      <c r="N320" s="384"/>
      <c r="O320" s="384"/>
      <c r="P320" s="215"/>
      <c r="Q320" s="215"/>
    </row>
    <row r="321" spans="1:17" ht="18" customHeight="1" x14ac:dyDescent="0.2">
      <c r="A321" s="465"/>
      <c r="B321" s="223"/>
      <c r="C321" s="307"/>
      <c r="D321" s="307"/>
      <c r="E321" s="307"/>
      <c r="F321" s="307"/>
      <c r="G321" s="307"/>
      <c r="H321" s="307"/>
      <c r="I321" s="307"/>
      <c r="J321" s="307"/>
      <c r="K321" s="307"/>
      <c r="L321" s="307"/>
      <c r="M321" s="265"/>
      <c r="N321" s="384"/>
      <c r="O321" s="384"/>
      <c r="P321" s="215"/>
      <c r="Q321" s="215"/>
    </row>
    <row r="322" spans="1:17" ht="18" customHeight="1" x14ac:dyDescent="0.2">
      <c r="A322" s="901" t="str">
        <f>"SCAN"&amp;_xlfn.AGGREGATE(3,7,$B$251,$B$255,$B$259,$B$263,$B$267,$B$271,$B$278,$B$285,$B$292,$B$299,$B$306,$B$310,$B$314,$B$318)+1</f>
        <v>SCAN15</v>
      </c>
      <c r="B322" s="244" t="str">
        <f>"SCAN"&amp;_xlfn.AGGREGATE(3,7,$B$251,$B$255,$B$259,$B$263,$B$267,$B$271,$B$278,$B$285,$B$292,$B$299,$B$306,$B$310,$B$314,$B$318)+1</f>
        <v>SCAN15</v>
      </c>
      <c r="C322" s="307" t="str">
        <f>IF(FOLIA_IndexScanner=1,"STD4800",IF(FOLIA_IndexScanner=2,"LA2400","LC4800P"))</f>
        <v>STD4800</v>
      </c>
      <c r="D322" s="382" t="str">
        <f>IF(FOLIA_IndexScanner=1,"V850",IF(FOLIA_IndexScanner=2,"Exp13000","V39 II"))</f>
        <v>V850</v>
      </c>
      <c r="E322" s="381"/>
      <c r="F322" s="307" t="str">
        <f>IF(C322&lt;&gt;"LC4800P","☐ Tête barrée","")</f>
        <v>☐ Tête barrée</v>
      </c>
      <c r="G322" s="307" t="s">
        <v>719</v>
      </c>
      <c r="H322" s="265"/>
      <c r="I322" s="439" t="str">
        <f>IF(C322&lt;&gt;"LC4800P","TPU  S/N","")</f>
        <v>TPU  S/N</v>
      </c>
      <c r="J322" s="383"/>
      <c r="K322" s="307" t="str">
        <f>IF(C322&lt;&gt;"LC4800P","☐ Tête barrée","")</f>
        <v>☐ Tête barrée</v>
      </c>
      <c r="L322" s="265"/>
      <c r="M322" s="307"/>
      <c r="N322" s="384"/>
      <c r="O322" s="384"/>
      <c r="P322" s="215"/>
      <c r="Q322" s="215"/>
    </row>
    <row r="323" spans="1:17" ht="18" customHeight="1" x14ac:dyDescent="0.2">
      <c r="A323" s="901"/>
      <c r="B323" s="244"/>
      <c r="C323" s="307" t="s">
        <v>246</v>
      </c>
      <c r="D323" s="265"/>
      <c r="E323" s="307"/>
      <c r="F323" s="307" t="str">
        <f>IF(FOLIA_PosiOrBlueBG_Checkbox,"☐ Fond Bleu " &amp; IF(FOLIA_IndexScanner=1,"STD",IF(FOLIA_IndexScanner=2,"LA","LC")),"")</f>
        <v>☐ Fond Bleu STD</v>
      </c>
      <c r="G323" s="307" t="str">
        <f>IF(C322&lt;&gt;"LC4800P","☐ Slides holders","")</f>
        <v>☐ Slides holders</v>
      </c>
      <c r="H323" s="265"/>
      <c r="I323" s="307" t="str">
        <f>"☐ " &amp; IF(FOLIA_IndexScanner=1,
"Label ""STD4800 Scanner""",
"Label ""LA2400 Scanner""")</f>
        <v>☐ Label "STD4800 Scanner"</v>
      </c>
      <c r="J323" s="307"/>
      <c r="K323" s="265"/>
      <c r="L323" s="265"/>
      <c r="M323" s="265"/>
      <c r="N323" s="384"/>
      <c r="O323" s="384"/>
      <c r="P323" s="215"/>
      <c r="Q323" s="215"/>
    </row>
    <row r="324" spans="1:17" ht="18" customHeight="1" x14ac:dyDescent="0.2">
      <c r="A324" s="901"/>
      <c r="B324" s="244"/>
      <c r="C324" s="265" t="str">
        <f>IF(C322&lt;&gt;"LC4800P","☐ 110V","")</f>
        <v>☐ 110V</v>
      </c>
      <c r="D324" s="385"/>
      <c r="E324" s="386" t="str">
        <f>IF(C322&lt;&gt;"LC4800P","220V : ☐ C","")</f>
        <v>220V : ☐ C</v>
      </c>
      <c r="F324" s="386" t="str">
        <f>IF(C322&lt;&gt;"LC4800P","☐ G","")</f>
        <v>☐ G</v>
      </c>
      <c r="G324" s="386" t="str">
        <f>IF(C322&lt;&gt;"LC4800P","☐ I","")</f>
        <v>☐ I</v>
      </c>
      <c r="H324" s="386" t="str">
        <f>IF(C322&lt;&gt;"LC4800P","☐ E","")</f>
        <v>☐ E</v>
      </c>
      <c r="I324" s="384"/>
      <c r="J324" s="384"/>
      <c r="K324" s="384"/>
      <c r="L324" s="384"/>
      <c r="M324" s="384"/>
      <c r="N324" s="384"/>
      <c r="O324" s="384"/>
      <c r="P324" s="215"/>
      <c r="Q324" s="215"/>
    </row>
    <row r="325" spans="1:17" ht="18" customHeight="1" x14ac:dyDescent="0.2">
      <c r="A325" s="424"/>
      <c r="B325" s="248"/>
      <c r="C325" s="393"/>
      <c r="D325" s="393"/>
      <c r="E325" s="393"/>
      <c r="F325" s="393"/>
      <c r="G325" s="393"/>
      <c r="H325" s="394"/>
      <c r="I325" s="394"/>
      <c r="J325" s="394"/>
      <c r="K325" s="393"/>
      <c r="L325" s="394"/>
      <c r="M325" s="393"/>
      <c r="N325" s="393"/>
      <c r="O325" s="384"/>
      <c r="P325" s="215"/>
      <c r="Q325" s="215"/>
    </row>
    <row r="326" spans="1:17" ht="16.25" customHeight="1" x14ac:dyDescent="0.2">
      <c r="A326" s="885" t="str">
        <f>"SCAN"&amp;_xlfn.AGGREGATE(3,7,$B$251,$B$255,$B$259,$B$263,$B$267,$B$271,$B$278,$B$285,$B$292,$B$299,$B$306,$B$310,$B$314,$B$318,$B$322)+1</f>
        <v>SCAN16</v>
      </c>
      <c r="B326" s="244" t="str">
        <f>"SCAN"&amp;_xlfn.AGGREGATE(3,7,$B$251,$B$255,$B$259,$B$263,$B$267,$B$271,$B$278,$B$285,$B$292,$B$299,$B$306,$B$310,$B$314,$B$318,$B$322)+1</f>
        <v>SCAN16</v>
      </c>
      <c r="C326" s="307" t="str">
        <f>IF(SEEDLE_IndexScanner=1,"STD4800","LA2400")</f>
        <v>STD4800</v>
      </c>
      <c r="D326" s="382" t="str">
        <f>IF(SEEDLE_IndexScanner=1,"V850","Exp13000")</f>
        <v>V850</v>
      </c>
      <c r="E326" s="381"/>
      <c r="F326" s="307" t="s">
        <v>153</v>
      </c>
      <c r="G326" s="307" t="s">
        <v>719</v>
      </c>
      <c r="H326" s="265"/>
      <c r="I326" s="439" t="s">
        <v>311</v>
      </c>
      <c r="J326" s="383"/>
      <c r="K326" s="307" t="s">
        <v>153</v>
      </c>
      <c r="L326" s="265"/>
      <c r="M326" s="307"/>
      <c r="N326" s="384"/>
      <c r="O326" s="384"/>
      <c r="P326" s="215"/>
      <c r="Q326" s="215"/>
    </row>
    <row r="327" spans="1:17" ht="18" customHeight="1" x14ac:dyDescent="0.2">
      <c r="A327" s="885"/>
      <c r="B327" s="244"/>
      <c r="C327" s="307" t="s">
        <v>246</v>
      </c>
      <c r="D327" s="265"/>
      <c r="E327" s="307" t="s">
        <v>247</v>
      </c>
      <c r="F327" s="265" t="s">
        <v>276</v>
      </c>
      <c r="G327" s="216"/>
      <c r="H327" s="307"/>
      <c r="I327" s="307" t="str">
        <f>IF(N("Ne pas afficher label du scanner dans section scanner si présent déjà dans posi")+SEEDLE_PosiOrBlueBG_Checkbox=1,"",
"☐ " &amp; IF(SEEDLE_IndexScanner=1,
"Label ""STD4800 Scanner""",
"Label ""LA2400 Scanner"""))</f>
        <v/>
      </c>
      <c r="J327" s="265"/>
      <c r="K327" s="265"/>
      <c r="L327" s="265"/>
      <c r="M327" s="265"/>
      <c r="N327" s="384"/>
      <c r="O327" s="384"/>
      <c r="P327" s="215"/>
      <c r="Q327" s="215"/>
    </row>
    <row r="328" spans="1:17" ht="18" customHeight="1" x14ac:dyDescent="0.2">
      <c r="A328" s="885"/>
      <c r="B328" s="244"/>
      <c r="C328" s="265" t="s">
        <v>269</v>
      </c>
      <c r="D328" s="385"/>
      <c r="E328" s="386" t="s">
        <v>270</v>
      </c>
      <c r="F328" s="386" t="s">
        <v>271</v>
      </c>
      <c r="G328" s="386" t="s">
        <v>272</v>
      </c>
      <c r="H328" s="386" t="s">
        <v>273</v>
      </c>
      <c r="I328" s="384"/>
      <c r="J328" s="384"/>
      <c r="K328" s="384"/>
      <c r="L328" s="384"/>
      <c r="M328" s="384"/>
      <c r="N328" s="384"/>
      <c r="O328" s="384"/>
      <c r="P328" s="215"/>
      <c r="Q328" s="215"/>
    </row>
    <row r="329" spans="1:17" ht="13.25" customHeight="1" x14ac:dyDescent="0.2">
      <c r="A329" s="457"/>
      <c r="B329" s="223"/>
      <c r="C329" s="307"/>
      <c r="D329" s="265"/>
      <c r="E329" s="265"/>
      <c r="F329" s="265"/>
      <c r="G329" s="265"/>
      <c r="H329" s="265"/>
      <c r="I329" s="265"/>
      <c r="J329" s="265"/>
      <c r="K329" s="265"/>
      <c r="L329" s="265"/>
      <c r="M329" s="265"/>
      <c r="N329" s="384"/>
      <c r="O329" s="384"/>
      <c r="P329" s="215"/>
      <c r="Q329" s="215"/>
    </row>
    <row r="330" spans="1:17" ht="18" customHeight="1" x14ac:dyDescent="0.2">
      <c r="A330" s="885" t="s">
        <v>268</v>
      </c>
      <c r="B330" s="245" t="s">
        <v>268</v>
      </c>
      <c r="C330" s="307" t="str">
        <f>"☐ " &amp; IF(SEEDLE_IndexScanner=1,
"Root Posi. System STD, 1 de 3 (3 Trays, Label Water only, Spacers)",
"Root Posi. System LA, 1 de 3 (Blue BG, Frame, 5 Trays, Label Water only, Spacers)")</f>
        <v>☐ Root Posi. System STD, 1 de 3 (3 Trays, Label Water only, Spacers)</v>
      </c>
      <c r="D330" s="265"/>
      <c r="E330" s="385"/>
      <c r="F330" s="385"/>
      <c r="G330" s="265"/>
      <c r="H330" s="307" t="str">
        <f>"☐ " &amp; IF(SEEDLE_IndexScanner=1,
"Root Posi. System STD, 2 de 3 (Blue BG, Frame)",
"Root Posi. System LA, 2 de 3 (8 Blocs de couleur)")</f>
        <v>☐ Root Posi. System STD, 2 de 3 (Blue BG, Frame)</v>
      </c>
      <c r="I330" s="216"/>
      <c r="J330" s="216"/>
      <c r="K330" s="307" t="str">
        <f>IF(AND(SEEDLE_IndexScanner=2,NOT(SEEDLE_ClientWithOrWithoutScanner_ChkBox)),
"☐ Velcros pour TPU pin","")</f>
        <v/>
      </c>
      <c r="L330" s="385"/>
      <c r="M330" s="216"/>
      <c r="N330" s="384"/>
      <c r="O330" s="384"/>
      <c r="P330" s="215"/>
      <c r="Q330" s="215"/>
    </row>
    <row r="331" spans="1:17" ht="18" customHeight="1" x14ac:dyDescent="0.2">
      <c r="A331" s="885"/>
      <c r="B331" s="215"/>
      <c r="C331" s="307" t="str">
        <f>IF(SEEDLE_IndexScanner=1,
"☐ Root Posi. System STD, 3 de 3 (4 Blocs couleur, Accessories Holder STD)",
"☐ Root Posi. System LA, 3 de 3 (Accessories Holder LA)")</f>
        <v>☐ Root Posi. System STD, 3 de 3 (4 Blocs couleur, Accessories Holder STD)</v>
      </c>
      <c r="D331" s="385"/>
      <c r="E331" s="265"/>
      <c r="F331" s="265"/>
      <c r="G331" s="216"/>
      <c r="H331" s="265"/>
      <c r="I331" s="307" t="str">
        <f>"☐ " &amp; IF(SEEDLE_IndexScanner=1,
"Label ""STD4800 Scanner""",
"Label ""LA2400 Scanner""")</f>
        <v>☐ Label "STD4800 Scanner"</v>
      </c>
      <c r="J331" s="385"/>
      <c r="K331" s="307" t="str">
        <f>"☐ " &amp; "Label ""Scanner Not Waterproof"""</f>
        <v>☐ Label "Scanner Not Waterproof"</v>
      </c>
      <c r="L331" s="385"/>
      <c r="M331" s="385"/>
      <c r="N331" s="384"/>
      <c r="O331" s="384"/>
      <c r="P331" s="215"/>
      <c r="Q331" s="215"/>
    </row>
    <row r="332" spans="1:17" ht="18" customHeight="1" x14ac:dyDescent="0.2">
      <c r="A332" s="457"/>
      <c r="B332" s="215"/>
      <c r="C332" s="307"/>
      <c r="D332" s="265"/>
      <c r="E332" s="265"/>
      <c r="F332" s="385"/>
      <c r="G332" s="384"/>
      <c r="H332" s="384"/>
      <c r="I332" s="385"/>
      <c r="J332" s="385"/>
      <c r="K332" s="386"/>
      <c r="L332" s="265"/>
      <c r="M332" s="265"/>
      <c r="N332" s="384"/>
      <c r="O332" s="384"/>
      <c r="P332" s="215"/>
      <c r="Q332" s="215"/>
    </row>
    <row r="333" spans="1:17" ht="16.25" customHeight="1" x14ac:dyDescent="0.2">
      <c r="A333" s="885" t="str">
        <f>"SCAN"&amp;_xlfn.AGGREGATE(3,7,$B$251,$B$255,$B$259,$B$263,$B$267,$B$271,$B$278,$B$285,$B$292,$B$299,$B$306,$B$310,$B$314,$B$318,$B$322,$B$326)+1</f>
        <v>SCAN17</v>
      </c>
      <c r="B333" s="244" t="str">
        <f>"SCAN"&amp;_xlfn.AGGREGATE(3,7,$B$251,$B$255,$B$259,$B$263,$B$267,$B$271,$B$278,$B$285,$B$292,$B$299,$B$306,$B$310,$B$314,$B$318,$B$322,$B$326)+1</f>
        <v>SCAN17</v>
      </c>
      <c r="C333" s="307" t="str">
        <f>IF(SEEDLE_IndexScanner=1,"STD4800","LA2400")</f>
        <v>STD4800</v>
      </c>
      <c r="D333" s="382" t="str">
        <f>IF(SEEDLE_IndexScanner=1,"V850","Exp13000")</f>
        <v>V850</v>
      </c>
      <c r="E333" s="381"/>
      <c r="F333" s="307" t="s">
        <v>153</v>
      </c>
      <c r="G333" s="307" t="s">
        <v>719</v>
      </c>
      <c r="H333" s="265"/>
      <c r="I333" s="439" t="s">
        <v>311</v>
      </c>
      <c r="J333" s="383"/>
      <c r="K333" s="307" t="s">
        <v>153</v>
      </c>
      <c r="L333" s="265"/>
      <c r="M333" s="307"/>
      <c r="N333" s="384"/>
      <c r="O333" s="384"/>
      <c r="P333" s="215"/>
      <c r="Q333" s="215"/>
    </row>
    <row r="334" spans="1:17" ht="18" customHeight="1" x14ac:dyDescent="0.2">
      <c r="A334" s="885"/>
      <c r="B334" s="244"/>
      <c r="C334" s="307" t="s">
        <v>246</v>
      </c>
      <c r="D334" s="265"/>
      <c r="E334" s="307" t="s">
        <v>247</v>
      </c>
      <c r="F334" s="265" t="s">
        <v>276</v>
      </c>
      <c r="G334" s="216"/>
      <c r="H334" s="265"/>
      <c r="I334" s="307" t="str">
        <f>IF(N("Ne pas afficher label du scanner dans section scanner si présent déjà dans posi")+SEEDLE_PosiOrBlueBG_Checkbox=1,"",
"☐ " &amp; IF(SEEDLE_IndexScanner=1,
"Label ""STD4800 Scanner""",
"Label ""LA2400 Scanner"""))</f>
        <v/>
      </c>
      <c r="J334" s="265"/>
      <c r="K334" s="265"/>
      <c r="L334" s="265"/>
      <c r="M334" s="265"/>
      <c r="N334" s="384"/>
      <c r="O334" s="384"/>
      <c r="P334" s="215"/>
      <c r="Q334" s="215"/>
    </row>
    <row r="335" spans="1:17" ht="18" customHeight="1" x14ac:dyDescent="0.2">
      <c r="A335" s="885"/>
      <c r="B335" s="244"/>
      <c r="C335" s="265" t="s">
        <v>269</v>
      </c>
      <c r="D335" s="385"/>
      <c r="E335" s="386" t="s">
        <v>270</v>
      </c>
      <c r="F335" s="386" t="s">
        <v>271</v>
      </c>
      <c r="G335" s="386" t="s">
        <v>272</v>
      </c>
      <c r="H335" s="386" t="s">
        <v>273</v>
      </c>
      <c r="I335" s="384"/>
      <c r="J335" s="384"/>
      <c r="K335" s="384"/>
      <c r="L335" s="384"/>
      <c r="M335" s="384"/>
      <c r="N335" s="384"/>
      <c r="O335" s="384"/>
      <c r="P335" s="215"/>
      <c r="Q335" s="215"/>
    </row>
    <row r="336" spans="1:17" ht="13.25" customHeight="1" x14ac:dyDescent="0.2">
      <c r="A336" s="457"/>
      <c r="B336" s="223"/>
      <c r="C336" s="307"/>
      <c r="D336" s="265"/>
      <c r="E336" s="265"/>
      <c r="F336" s="265"/>
      <c r="G336" s="265"/>
      <c r="H336" s="265"/>
      <c r="I336" s="265"/>
      <c r="J336" s="265"/>
      <c r="K336" s="265"/>
      <c r="L336" s="265"/>
      <c r="M336" s="265"/>
      <c r="N336" s="384"/>
      <c r="O336" s="384"/>
      <c r="P336" s="215"/>
      <c r="Q336" s="215"/>
    </row>
    <row r="337" spans="1:17" ht="18" customHeight="1" x14ac:dyDescent="0.2">
      <c r="A337" s="885" t="s">
        <v>268</v>
      </c>
      <c r="B337" s="245" t="s">
        <v>268</v>
      </c>
      <c r="C337" s="307" t="str">
        <f>"☐ " &amp; IF(SEEDLE_IndexScanner=1,
"Root Posi. System STD, 1 de 3 (3 Trays, Label Water only, Spacers)",
"Root Posi. System LA, 1 de 3 (Blue BG, Frame, 5 Trays, Label Water only, Spacers)")</f>
        <v>☐ Root Posi. System STD, 1 de 3 (3 Trays, Label Water only, Spacers)</v>
      </c>
      <c r="D337" s="265"/>
      <c r="E337" s="385"/>
      <c r="F337" s="385"/>
      <c r="G337" s="265"/>
      <c r="H337" s="307" t="str">
        <f>"☐ " &amp; IF(SEEDLE_IndexScanner=1,
"Root Posi. System STD, 2 de 3 (Blue BG, Frame)",
"Root Posi. System LA, 2 de 3 (8 Blocs de couleur)")</f>
        <v>☐ Root Posi. System STD, 2 de 3 (Blue BG, Frame)</v>
      </c>
      <c r="I337" s="216"/>
      <c r="J337" s="216"/>
      <c r="K337" s="307" t="str">
        <f>IF(AND(SEEDLE_IndexScanner=2,NOT(SEEDLE_ClientWithOrWithoutScanner_ChkBox)),
"☐ Velcros pour TPU pin","")</f>
        <v/>
      </c>
      <c r="L337" s="385"/>
      <c r="M337" s="385"/>
      <c r="N337" s="384"/>
      <c r="O337" s="384"/>
      <c r="P337" s="215"/>
      <c r="Q337" s="215"/>
    </row>
    <row r="338" spans="1:17" ht="18" customHeight="1" x14ac:dyDescent="0.2">
      <c r="A338" s="885"/>
      <c r="B338" s="215"/>
      <c r="C338" s="307" t="str">
        <f>IF(SEEDLE_IndexScanner=1,
"☐ Root Posi. System STD, 3 de 3 (4 Blocs couleur, Accessories Holder STD)",
"☐ Root Posi. System LA, 3 de 3 (Accessories Holder LA)")</f>
        <v>☐ Root Posi. System STD, 3 de 3 (4 Blocs couleur, Accessories Holder STD)</v>
      </c>
      <c r="D338" s="385"/>
      <c r="E338" s="265"/>
      <c r="F338" s="265"/>
      <c r="G338" s="216"/>
      <c r="H338" s="265"/>
      <c r="I338" s="307" t="str">
        <f>"☐ " &amp; IF(SEEDLE_IndexScanner=1,
"Label ""STD4800 Scanner""",
"Label ""LA2400 Scanner""")</f>
        <v>☐ Label "STD4800 Scanner"</v>
      </c>
      <c r="J338" s="385"/>
      <c r="K338" s="307" t="str">
        <f>"☐ " &amp; "Label ""Scanner Not Waterproof"""</f>
        <v>☐ Label "Scanner Not Waterproof"</v>
      </c>
      <c r="L338" s="385"/>
      <c r="M338" s="385"/>
      <c r="N338" s="384"/>
      <c r="O338" s="384"/>
      <c r="P338" s="215"/>
      <c r="Q338" s="215"/>
    </row>
    <row r="339" spans="1:17" ht="18" customHeight="1" x14ac:dyDescent="0.2">
      <c r="A339" s="457"/>
      <c r="B339" s="215"/>
      <c r="C339" s="307"/>
      <c r="D339" s="265"/>
      <c r="E339" s="265"/>
      <c r="F339" s="385"/>
      <c r="G339" s="384"/>
      <c r="H339" s="384"/>
      <c r="I339" s="385"/>
      <c r="J339" s="385"/>
      <c r="K339" s="386"/>
      <c r="L339" s="265"/>
      <c r="M339" s="265"/>
      <c r="N339" s="384"/>
      <c r="O339" s="384"/>
      <c r="P339" s="215"/>
      <c r="Q339" s="215"/>
    </row>
    <row r="340" spans="1:17" ht="16.25" customHeight="1" x14ac:dyDescent="0.2">
      <c r="A340" s="885" t="str">
        <f>"SCAN"&amp;_xlfn.AGGREGATE(3,7,$B$251,$B$255,$B$259,$B$263,$B$267,$B$271,$B$278,$B$285,$B$292,$B$299,$B$306,$B$310,$B$314,$B$318,$B$322,$B$326,$B$333)+1</f>
        <v>SCAN18</v>
      </c>
      <c r="B340" s="244" t="str">
        <f>"SCAN"&amp;_xlfn.AGGREGATE(3,7,$B$251,$B$255,$B$259,$B$263,$B$267,$B$271,$B$278,$B$285,$B$292,$B$299,$B$306,$B$310,$B$314,$B$318,$B$322,$B$326,$B$333)+1</f>
        <v>SCAN18</v>
      </c>
      <c r="C340" s="307" t="str">
        <f>IF(SEEDLE_IndexScanner=1,"STD4800","LA2400")</f>
        <v>STD4800</v>
      </c>
      <c r="D340" s="382" t="str">
        <f>IF(SEEDLE_IndexScanner=1,"V850","Exp13000")</f>
        <v>V850</v>
      </c>
      <c r="E340" s="381"/>
      <c r="F340" s="307" t="s">
        <v>153</v>
      </c>
      <c r="G340" s="307" t="s">
        <v>719</v>
      </c>
      <c r="H340" s="265"/>
      <c r="I340" s="439" t="s">
        <v>311</v>
      </c>
      <c r="J340" s="383"/>
      <c r="K340" s="307" t="s">
        <v>153</v>
      </c>
      <c r="L340" s="265"/>
      <c r="M340" s="307"/>
      <c r="N340" s="384"/>
      <c r="O340" s="384"/>
      <c r="P340" s="215"/>
      <c r="Q340" s="215"/>
    </row>
    <row r="341" spans="1:17" ht="18" customHeight="1" x14ac:dyDescent="0.2">
      <c r="A341" s="885"/>
      <c r="B341" s="244"/>
      <c r="C341" s="307" t="s">
        <v>246</v>
      </c>
      <c r="D341" s="265"/>
      <c r="E341" s="307" t="s">
        <v>247</v>
      </c>
      <c r="F341" s="265" t="s">
        <v>276</v>
      </c>
      <c r="G341" s="216"/>
      <c r="H341" s="265"/>
      <c r="I341" s="307" t="str">
        <f>IF(N("Ne pas afficher label du scanner dans section scanner si présent déjà dans posi")+SEEDLE_PosiOrBlueBG_Checkbox=1,"",
"☐ " &amp; IF(SEEDLE_IndexScanner=1,
"Label ""STD4800 Scanner""",
"Label ""LA2400 Scanner"""))</f>
        <v/>
      </c>
      <c r="J341" s="265"/>
      <c r="K341" s="265"/>
      <c r="L341" s="265"/>
      <c r="M341" s="265"/>
      <c r="N341" s="384"/>
      <c r="O341" s="384"/>
      <c r="P341" s="215"/>
      <c r="Q341" s="215"/>
    </row>
    <row r="342" spans="1:17" ht="18" customHeight="1" x14ac:dyDescent="0.2">
      <c r="A342" s="885"/>
      <c r="B342" s="244"/>
      <c r="C342" s="265" t="s">
        <v>269</v>
      </c>
      <c r="D342" s="385"/>
      <c r="E342" s="386" t="s">
        <v>270</v>
      </c>
      <c r="F342" s="386" t="s">
        <v>271</v>
      </c>
      <c r="G342" s="386" t="s">
        <v>272</v>
      </c>
      <c r="H342" s="386" t="s">
        <v>273</v>
      </c>
      <c r="I342" s="384"/>
      <c r="J342" s="384"/>
      <c r="K342" s="384"/>
      <c r="L342" s="384"/>
      <c r="M342" s="384"/>
      <c r="N342" s="384"/>
      <c r="O342" s="384"/>
      <c r="P342" s="215"/>
      <c r="Q342" s="215"/>
    </row>
    <row r="343" spans="1:17" ht="13.25" customHeight="1" x14ac:dyDescent="0.2">
      <c r="A343" s="457"/>
      <c r="B343" s="223"/>
      <c r="C343" s="307"/>
      <c r="D343" s="265"/>
      <c r="E343" s="265"/>
      <c r="F343" s="265"/>
      <c r="G343" s="265"/>
      <c r="H343" s="265"/>
      <c r="I343" s="265"/>
      <c r="J343" s="265"/>
      <c r="K343" s="265"/>
      <c r="L343" s="265"/>
      <c r="M343" s="265"/>
      <c r="N343" s="384"/>
      <c r="O343" s="384"/>
      <c r="P343" s="215"/>
      <c r="Q343" s="215"/>
    </row>
    <row r="344" spans="1:17" ht="18" customHeight="1" x14ac:dyDescent="0.2">
      <c r="A344" s="885" t="s">
        <v>268</v>
      </c>
      <c r="B344" s="245" t="s">
        <v>268</v>
      </c>
      <c r="C344" s="307" t="str">
        <f>"☐ " &amp; IF(SEEDLE_IndexScanner=1,
"Root Posi. System STD, 1 de 3 (3 Trays, Label Water only, Spacers)",
"Root Posi. System LA, 1 de 3 (Blue BG, Frame, 5 Trays, Label Water only, Spacers)")</f>
        <v>☐ Root Posi. System STD, 1 de 3 (3 Trays, Label Water only, Spacers)</v>
      </c>
      <c r="D344" s="265"/>
      <c r="E344" s="385"/>
      <c r="F344" s="385"/>
      <c r="G344" s="265"/>
      <c r="H344" s="307" t="str">
        <f>"☐ " &amp; IF(SEEDLE_IndexScanner=1,
"Root Posi. System STD, 2 de 3 (Blue BG, Frame)",
"Root Posi. System LA, 2 de 3 (8 Blocs de couleur)")</f>
        <v>☐ Root Posi. System STD, 2 de 3 (Blue BG, Frame)</v>
      </c>
      <c r="I344" s="216"/>
      <c r="J344" s="216"/>
      <c r="K344" s="307" t="str">
        <f>IF(AND(SEEDLE_IndexScanner=2,NOT(SEEDLE_ClientWithOrWithoutScanner_ChkBox)),
"☐ Velcros pour TPU pin","")</f>
        <v/>
      </c>
      <c r="L344" s="385"/>
      <c r="M344" s="385"/>
      <c r="N344" s="384"/>
      <c r="O344" s="384"/>
      <c r="P344" s="215"/>
      <c r="Q344" s="215"/>
    </row>
    <row r="345" spans="1:17" ht="18" customHeight="1" x14ac:dyDescent="0.2">
      <c r="A345" s="885"/>
      <c r="B345" s="215"/>
      <c r="C345" s="307" t="str">
        <f>IF(SEEDLE_IndexScanner=1,
"☐ Root Posi. System STD, 3 de 3 (4 Blocs couleur, Accessories Holder STD)",
"☐ Root Posi. System LA, 3 de 3 (Accessories Holder LA)")</f>
        <v>☐ Root Posi. System STD, 3 de 3 (4 Blocs couleur, Accessories Holder STD)</v>
      </c>
      <c r="D345" s="385"/>
      <c r="E345" s="265"/>
      <c r="F345" s="265"/>
      <c r="G345" s="216"/>
      <c r="H345" s="265"/>
      <c r="I345" s="307" t="str">
        <f>"☐ " &amp; IF(SEEDLE_IndexScanner=1,
"Label ""STD4800 Scanner""",
"Label ""LA2400 Scanner""")</f>
        <v>☐ Label "STD4800 Scanner"</v>
      </c>
      <c r="J345" s="385"/>
      <c r="K345" s="307" t="str">
        <f>"☐ " &amp; "Label ""Scanner Not Waterproof"""</f>
        <v>☐ Label "Scanner Not Waterproof"</v>
      </c>
      <c r="L345" s="385"/>
      <c r="M345" s="385"/>
      <c r="N345" s="384"/>
      <c r="O345" s="384"/>
      <c r="P345" s="215"/>
      <c r="Q345" s="215"/>
    </row>
    <row r="346" spans="1:17" ht="18" customHeight="1" x14ac:dyDescent="0.2">
      <c r="A346" s="457"/>
      <c r="B346" s="215"/>
      <c r="C346" s="307"/>
      <c r="D346" s="265"/>
      <c r="E346" s="265"/>
      <c r="F346" s="385"/>
      <c r="G346" s="384"/>
      <c r="H346" s="384"/>
      <c r="I346" s="385"/>
      <c r="J346" s="385"/>
      <c r="K346" s="386"/>
      <c r="L346" s="265"/>
      <c r="M346" s="265"/>
      <c r="N346" s="384"/>
      <c r="O346" s="384"/>
      <c r="P346" s="215"/>
      <c r="Q346" s="215"/>
    </row>
    <row r="347" spans="1:17" ht="16.25" customHeight="1" x14ac:dyDescent="0.2">
      <c r="A347" s="885" t="str">
        <f>"SCAN"&amp;_xlfn.AGGREGATE(3,7,$B$251,$B$255,$B$259,$B$263,$B$267,$B$271,$B$278,$B$285,$B$292,$B$299,$B$306,$B$310,$B$314,$B$318,$B$322,$B$326,$B$333,$B$340)+1</f>
        <v>SCAN19</v>
      </c>
      <c r="B347" s="244" t="str">
        <f>"SCAN"&amp;_xlfn.AGGREGATE(3,7,$B$251,$B$255,$B$259,$B$263,$B$267,$B$271,$B$278,$B$285,$B$292,$B$299,$B$306,$B$310,$B$314,$B$318,$B$322,$B$326,$B$333,$B$340)+1</f>
        <v>SCAN19</v>
      </c>
      <c r="C347" s="307" t="str">
        <f>IF(SEEDLE_IndexScanner=1,"STD4800","LA2400")</f>
        <v>STD4800</v>
      </c>
      <c r="D347" s="382" t="str">
        <f>IF(SEEDLE_IndexScanner=1,"V850","Exp13000")</f>
        <v>V850</v>
      </c>
      <c r="E347" s="381"/>
      <c r="F347" s="307" t="s">
        <v>153</v>
      </c>
      <c r="G347" s="307" t="s">
        <v>719</v>
      </c>
      <c r="H347" s="265"/>
      <c r="I347" s="439" t="s">
        <v>311</v>
      </c>
      <c r="J347" s="383"/>
      <c r="K347" s="307" t="s">
        <v>153</v>
      </c>
      <c r="L347" s="265"/>
      <c r="M347" s="307"/>
      <c r="N347" s="384"/>
      <c r="O347" s="384"/>
      <c r="P347" s="215"/>
      <c r="Q347" s="215"/>
    </row>
    <row r="348" spans="1:17" ht="18" customHeight="1" x14ac:dyDescent="0.2">
      <c r="A348" s="885"/>
      <c r="B348" s="244"/>
      <c r="C348" s="307" t="s">
        <v>246</v>
      </c>
      <c r="D348" s="265"/>
      <c r="E348" s="307" t="s">
        <v>247</v>
      </c>
      <c r="F348" s="265" t="s">
        <v>276</v>
      </c>
      <c r="G348" s="216"/>
      <c r="H348" s="265"/>
      <c r="I348" s="307" t="str">
        <f>IF(N("Ne pas afficher label du scanner dans section scanner si présent déjà dans posi")+SEEDLE_PosiOrBlueBG_Checkbox=1,"",
"☐ " &amp; IF(SEEDLE_IndexScanner=1,
"Label ""STD4800 Scanner""",
"Label ""LA2400 Scanner"""))</f>
        <v/>
      </c>
      <c r="J348" s="265"/>
      <c r="K348" s="265"/>
      <c r="L348" s="265"/>
      <c r="M348" s="265"/>
      <c r="N348" s="384"/>
      <c r="O348" s="384"/>
      <c r="P348" s="215"/>
      <c r="Q348" s="215"/>
    </row>
    <row r="349" spans="1:17" ht="18" customHeight="1" x14ac:dyDescent="0.2">
      <c r="A349" s="885"/>
      <c r="B349" s="244"/>
      <c r="C349" s="265" t="s">
        <v>269</v>
      </c>
      <c r="D349" s="385"/>
      <c r="E349" s="386" t="s">
        <v>270</v>
      </c>
      <c r="F349" s="386" t="s">
        <v>271</v>
      </c>
      <c r="G349" s="386" t="s">
        <v>272</v>
      </c>
      <c r="H349" s="386" t="s">
        <v>273</v>
      </c>
      <c r="I349" s="384"/>
      <c r="J349" s="384"/>
      <c r="K349" s="384"/>
      <c r="L349" s="384"/>
      <c r="M349" s="384"/>
      <c r="N349" s="384"/>
      <c r="O349" s="384"/>
      <c r="P349" s="215"/>
      <c r="Q349" s="215"/>
    </row>
    <row r="350" spans="1:17" ht="13.25" customHeight="1" x14ac:dyDescent="0.2">
      <c r="A350" s="457"/>
      <c r="B350" s="223"/>
      <c r="C350" s="307"/>
      <c r="D350" s="265"/>
      <c r="E350" s="265"/>
      <c r="F350" s="265"/>
      <c r="G350" s="265"/>
      <c r="H350" s="265"/>
      <c r="I350" s="265"/>
      <c r="J350" s="265"/>
      <c r="K350" s="265"/>
      <c r="L350" s="265"/>
      <c r="M350" s="265"/>
      <c r="N350" s="384"/>
      <c r="O350" s="384"/>
      <c r="P350" s="215"/>
      <c r="Q350" s="215"/>
    </row>
    <row r="351" spans="1:17" ht="18" customHeight="1" x14ac:dyDescent="0.2">
      <c r="A351" s="885" t="s">
        <v>268</v>
      </c>
      <c r="B351" s="245" t="s">
        <v>268</v>
      </c>
      <c r="C351" s="307" t="str">
        <f>"☐ " &amp; IF(SEEDLE_IndexScanner=1,
"Root Posi. System STD, 1 de 3 (3 Trays, Label Water only, Spacers)",
"Root Posi. System LA, 1 de 3 (Blue BG, Frame, 5 Trays, Label Water only, Spacers)")</f>
        <v>☐ Root Posi. System STD, 1 de 3 (3 Trays, Label Water only, Spacers)</v>
      </c>
      <c r="D351" s="265"/>
      <c r="E351" s="385"/>
      <c r="F351" s="385"/>
      <c r="G351" s="265"/>
      <c r="H351" s="307" t="str">
        <f>"☐ " &amp; IF(SEEDLE_IndexScanner=1,
"Root Posi. System STD, 2 de 3 (Blue BG, Frame)",
"Root Posi. System LA, 2 de 3 (8 Blocs de couleur)")</f>
        <v>☐ Root Posi. System STD, 2 de 3 (Blue BG, Frame)</v>
      </c>
      <c r="I351" s="216"/>
      <c r="J351" s="216"/>
      <c r="K351" s="307" t="str">
        <f>IF(AND(SEEDLE_IndexScanner=2,NOT(SEEDLE_ClientWithOrWithoutScanner_ChkBox)),
"☐ Velcros pour TPU pin","")</f>
        <v/>
      </c>
      <c r="L351" s="385"/>
      <c r="M351" s="385"/>
      <c r="N351" s="384"/>
      <c r="O351" s="384"/>
      <c r="P351" s="215"/>
      <c r="Q351" s="215"/>
    </row>
    <row r="352" spans="1:17" ht="18" customHeight="1" x14ac:dyDescent="0.2">
      <c r="A352" s="885"/>
      <c r="B352" s="215"/>
      <c r="C352" s="307" t="str">
        <f>IF(SEEDLE_IndexScanner=1,
"☐ Root Posi. System STD, 3 de 3 (4 Blocs couleur, Accessories Holder STD)",
"☐ Root Posi. System LA, 3 de 3 (Accessories Holder LA)")</f>
        <v>☐ Root Posi. System STD, 3 de 3 (4 Blocs couleur, Accessories Holder STD)</v>
      </c>
      <c r="D352" s="385"/>
      <c r="E352" s="265"/>
      <c r="F352" s="265"/>
      <c r="G352" s="216"/>
      <c r="H352" s="265"/>
      <c r="I352" s="307" t="str">
        <f>"☐ " &amp; IF(SEEDLE_IndexScanner=1,
"Label ""STD4800 Scanner""",
"Label ""LA2400 Scanner""")</f>
        <v>☐ Label "STD4800 Scanner"</v>
      </c>
      <c r="J352" s="385"/>
      <c r="K352" s="307" t="str">
        <f>"☐ " &amp; "Label ""Scanner Not Waterproof"""</f>
        <v>☐ Label "Scanner Not Waterproof"</v>
      </c>
      <c r="L352" s="385"/>
      <c r="M352" s="385"/>
      <c r="N352" s="384"/>
      <c r="O352" s="384"/>
      <c r="P352" s="215"/>
      <c r="Q352" s="215"/>
    </row>
    <row r="353" spans="1:17" ht="18" customHeight="1" x14ac:dyDescent="0.2">
      <c r="A353" s="457"/>
      <c r="B353" s="215"/>
      <c r="C353" s="307"/>
      <c r="D353" s="265"/>
      <c r="E353" s="265"/>
      <c r="F353" s="385"/>
      <c r="G353" s="384"/>
      <c r="H353" s="384"/>
      <c r="I353" s="385"/>
      <c r="J353" s="385"/>
      <c r="K353" s="386"/>
      <c r="L353" s="265"/>
      <c r="M353" s="265"/>
      <c r="N353" s="384"/>
      <c r="O353" s="384"/>
      <c r="P353" s="215"/>
      <c r="Q353" s="215"/>
    </row>
    <row r="354" spans="1:17" ht="16.25" customHeight="1" x14ac:dyDescent="0.2">
      <c r="A354" s="885" t="str">
        <f>"SCAN"&amp;_xlfn.AGGREGATE(3,7,$B$251,$B$255,$B$259,$B$263,$B$267,$B$271,$B$278,$B$285,$B$292,$B$299,$B$306,$B$310,$B$314,$B$318,$B$322,$B$326,$B$333,$B$340,$B$347)+1</f>
        <v>SCAN20</v>
      </c>
      <c r="B354" s="244" t="str">
        <f>"SCAN"&amp;_xlfn.AGGREGATE(3,7,$B$251,$B$255,$B$259,$B$263,$B$267,$B$271,$B$278,$B$285,$B$292,$B$299,$B$306,$B$310,$B$314,$B$318,$B$322,$B$326,$B$333,$B$340,$B$347)+1</f>
        <v>SCAN20</v>
      </c>
      <c r="C354" s="307" t="str">
        <f>IF(SEEDLE_IndexScanner=1,"STD4800","LA2400")</f>
        <v>STD4800</v>
      </c>
      <c r="D354" s="382" t="str">
        <f>IF(SEEDLE_IndexScanner=1,"V850","Exp13000")</f>
        <v>V850</v>
      </c>
      <c r="E354" s="381"/>
      <c r="F354" s="307" t="s">
        <v>153</v>
      </c>
      <c r="G354" s="307" t="s">
        <v>719</v>
      </c>
      <c r="H354" s="265"/>
      <c r="I354" s="439" t="s">
        <v>311</v>
      </c>
      <c r="J354" s="383"/>
      <c r="K354" s="307" t="s">
        <v>153</v>
      </c>
      <c r="L354" s="265"/>
      <c r="M354" s="307"/>
      <c r="N354" s="384"/>
      <c r="O354" s="384"/>
      <c r="P354" s="215"/>
      <c r="Q354" s="215"/>
    </row>
    <row r="355" spans="1:17" ht="18" customHeight="1" x14ac:dyDescent="0.2">
      <c r="A355" s="885"/>
      <c r="B355" s="244"/>
      <c r="C355" s="307" t="s">
        <v>246</v>
      </c>
      <c r="D355" s="265"/>
      <c r="E355" s="307" t="s">
        <v>247</v>
      </c>
      <c r="F355" s="265" t="s">
        <v>276</v>
      </c>
      <c r="G355" s="216"/>
      <c r="H355" s="265"/>
      <c r="I355" s="307" t="str">
        <f>IF(N("Ne pas afficher label du scanner dans section scanner si présent déjà dans posi")+SEEDLE_PosiOrBlueBG_Checkbox=1,"",
"☐ " &amp; IF(SEEDLE_IndexScanner=1,
"Label ""STD4800 Scanner""",
"Label ""LA2400 Scanner"""))</f>
        <v/>
      </c>
      <c r="J355" s="265"/>
      <c r="K355" s="265"/>
      <c r="L355" s="265"/>
      <c r="M355" s="265"/>
      <c r="N355" s="384"/>
      <c r="O355" s="384"/>
      <c r="P355" s="215"/>
      <c r="Q355" s="215"/>
    </row>
    <row r="356" spans="1:17" ht="18" customHeight="1" x14ac:dyDescent="0.2">
      <c r="A356" s="885"/>
      <c r="B356" s="244"/>
      <c r="C356" s="265" t="s">
        <v>269</v>
      </c>
      <c r="D356" s="385"/>
      <c r="E356" s="386" t="s">
        <v>270</v>
      </c>
      <c r="F356" s="386" t="s">
        <v>271</v>
      </c>
      <c r="G356" s="386" t="s">
        <v>272</v>
      </c>
      <c r="H356" s="386" t="s">
        <v>273</v>
      </c>
      <c r="I356" s="384"/>
      <c r="J356" s="384"/>
      <c r="K356" s="384"/>
      <c r="L356" s="384"/>
      <c r="M356" s="384"/>
      <c r="N356" s="384"/>
      <c r="O356" s="384"/>
      <c r="P356" s="215"/>
      <c r="Q356" s="215"/>
    </row>
    <row r="357" spans="1:17" ht="13.25" customHeight="1" x14ac:dyDescent="0.2">
      <c r="A357" s="457"/>
      <c r="B357" s="223"/>
      <c r="C357" s="307"/>
      <c r="D357" s="265"/>
      <c r="E357" s="265"/>
      <c r="F357" s="265"/>
      <c r="G357" s="265"/>
      <c r="H357" s="265"/>
      <c r="I357" s="265"/>
      <c r="J357" s="265"/>
      <c r="K357" s="265"/>
      <c r="L357" s="265"/>
      <c r="M357" s="265"/>
      <c r="N357" s="384"/>
      <c r="O357" s="384"/>
      <c r="P357" s="215"/>
      <c r="Q357" s="215"/>
    </row>
    <row r="358" spans="1:17" ht="18" customHeight="1" x14ac:dyDescent="0.2">
      <c r="A358" s="885" t="s">
        <v>268</v>
      </c>
      <c r="B358" s="245" t="s">
        <v>268</v>
      </c>
      <c r="C358" s="307" t="str">
        <f>"☐ " &amp; IF(SEEDLE_IndexScanner=1,
"Root Posi. System STD, 1 de 3 (3 Trays, Label Water only, Spacers)",
"Root Posi. System LA, 1 de 3 (Blue BG, Frame, 5 Trays, Label Water only, Spacers)")</f>
        <v>☐ Root Posi. System STD, 1 de 3 (3 Trays, Label Water only, Spacers)</v>
      </c>
      <c r="D358" s="265"/>
      <c r="E358" s="385"/>
      <c r="F358" s="385"/>
      <c r="G358" s="265"/>
      <c r="H358" s="307" t="str">
        <f>"☐ " &amp; IF(SEEDLE_IndexScanner=1,
"Root Posi. System STD, 2 de 3 (Blue BG, Frame)",
"Root Posi. System LA, 2 de 3 (8 Blocs de couleur)")</f>
        <v>☐ Root Posi. System STD, 2 de 3 (Blue BG, Frame)</v>
      </c>
      <c r="I358" s="216"/>
      <c r="J358" s="216"/>
      <c r="K358" s="307" t="str">
        <f>IF(AND(SEEDLE_IndexScanner=2,NOT(SEEDLE_ClientWithOrWithoutScanner_ChkBox)),
"☐ Velcros pour TPU pin","")</f>
        <v/>
      </c>
      <c r="L358" s="385"/>
      <c r="M358" s="385"/>
      <c r="N358" s="384"/>
      <c r="O358" s="384"/>
      <c r="P358" s="215"/>
      <c r="Q358" s="215"/>
    </row>
    <row r="359" spans="1:17" ht="18" customHeight="1" x14ac:dyDescent="0.2">
      <c r="A359" s="885"/>
      <c r="B359" s="215"/>
      <c r="C359" s="307" t="str">
        <f>IF(SEEDLE_IndexScanner=1,
"☐ Root Posi. System STD, 3 de 3 (4 Blocs couleur, Accessories Holder STD)",
"☐ Root Posi. System LA, 3 de 3 (Accessories Holder LA)")</f>
        <v>☐ Root Posi. System STD, 3 de 3 (4 Blocs couleur, Accessories Holder STD)</v>
      </c>
      <c r="D359" s="385"/>
      <c r="E359" s="265"/>
      <c r="F359" s="265"/>
      <c r="G359" s="216"/>
      <c r="H359" s="265"/>
      <c r="I359" s="307" t="str">
        <f>"☐ " &amp; IF(SEEDLE_IndexScanner=1,
"Label ""STD4800 Scanner""",
"Label ""LA2400 Scanner""")</f>
        <v>☐ Label "STD4800 Scanner"</v>
      </c>
      <c r="J359" s="385"/>
      <c r="K359" s="307" t="str">
        <f>"☐ " &amp; "Label ""Scanner Not Waterproof"""</f>
        <v>☐ Label "Scanner Not Waterproof"</v>
      </c>
      <c r="L359" s="385"/>
      <c r="M359" s="385"/>
      <c r="N359" s="384"/>
      <c r="O359" s="384"/>
      <c r="P359" s="215"/>
      <c r="Q359" s="215"/>
    </row>
    <row r="360" spans="1:17" ht="18" customHeight="1" x14ac:dyDescent="0.2">
      <c r="A360" s="460"/>
      <c r="B360" s="249"/>
      <c r="C360" s="395"/>
      <c r="D360" s="395"/>
      <c r="E360" s="395"/>
      <c r="F360" s="395"/>
      <c r="G360" s="395"/>
      <c r="H360" s="396"/>
      <c r="I360" s="395"/>
      <c r="J360" s="395"/>
      <c r="K360" s="396"/>
      <c r="L360" s="395"/>
      <c r="M360" s="395"/>
      <c r="N360" s="395"/>
      <c r="O360" s="384"/>
      <c r="P360" s="215"/>
      <c r="Q360" s="215"/>
    </row>
    <row r="361" spans="1:17" ht="16.25" customHeight="1" x14ac:dyDescent="0.2">
      <c r="A361" s="910" t="str">
        <f>"SCAN"&amp;_xlfn.AGGREGATE(3,7,$B$251,$B$255,$B$259,$B$263,$B$267,$B$271,$B$278,$B$285,$B$292,$B$299,$B$306,$B$310,$B$314,$B$318,$B$322,$B$326,$B$333,$B$340,$B$347,$B$354)+1</f>
        <v>SCAN21</v>
      </c>
      <c r="B361" s="244" t="str">
        <f>"SCAN"&amp;_xlfn.AGGREGATE(3,7,$B$251,$B$255,$B$259,$B$263,$B$267,$B$271,$B$278,$B$285,$B$292,$B$299,$B$306,$B$310,$B$314,$B$318,$B$322,$B$326,$B$333,$B$340,$B$347,$B$354)+1</f>
        <v>SCAN21</v>
      </c>
      <c r="C361" s="307" t="str">
        <f>IF(CAM_IndexScanner=1,"STD4800",IF(CAM_IndexScanner=2,"LA2400","LC4800P"))</f>
        <v>STD4800</v>
      </c>
      <c r="D361" s="382" t="str">
        <f>IF(CAM_IndexScanner=1,"V850",IF(CAM_IndexScanner=2,"Exp13000","V39 II"))</f>
        <v>V850</v>
      </c>
      <c r="E361" s="381"/>
      <c r="F361" s="307" t="str">
        <f>IF(C361&lt;&gt;"LC4800P","☐ Tête barrée","")</f>
        <v>☐ Tête barrée</v>
      </c>
      <c r="G361" s="307" t="s">
        <v>719</v>
      </c>
      <c r="H361" s="265"/>
      <c r="I361" s="439" t="str">
        <f>IF(C361&lt;&gt;"LC4800P","TPU  S/N","")</f>
        <v>TPU  S/N</v>
      </c>
      <c r="J361" s="383"/>
      <c r="K361" s="307" t="str">
        <f>IF(C361&lt;&gt;"LC4800P","☐ Tête barrée","")</f>
        <v>☐ Tête barrée</v>
      </c>
      <c r="L361" s="265"/>
      <c r="M361" s="307"/>
      <c r="N361" s="384"/>
      <c r="O361" s="384"/>
      <c r="P361" s="215"/>
      <c r="Q361" s="215"/>
    </row>
    <row r="362" spans="1:17" ht="18" customHeight="1" x14ac:dyDescent="0.2">
      <c r="A362" s="910"/>
      <c r="B362" s="244"/>
      <c r="C362" s="307" t="s">
        <v>246</v>
      </c>
      <c r="D362" s="265"/>
      <c r="E362" s="307"/>
      <c r="F362" s="307" t="str">
        <f>IF(CAM_PosiOrBlueBG_Checkbox,"☐ Fond Bleu " &amp; IF(CAM_IndexScanner=1,"STD",IF(CAM_IndexScanner=2,"LA","LC")),"")</f>
        <v>☐ Fond Bleu STD</v>
      </c>
      <c r="G362" s="307" t="str">
        <f>IF(C361&lt;&gt;"LC4800P","☐ Slides holders","")</f>
        <v>☐ Slides holders</v>
      </c>
      <c r="H362" s="265"/>
      <c r="I362" s="307" t="str">
        <f>"☐ " &amp; IF(CAM_IndexScanner=1,
"Label ""STD4800 Scanner""",
"Label ""LA2400 Scanner""")</f>
        <v>☐ Label "STD4800 Scanner"</v>
      </c>
      <c r="J362" s="216"/>
      <c r="K362" s="265"/>
      <c r="L362" s="265"/>
      <c r="M362" s="265"/>
      <c r="N362" s="384"/>
      <c r="O362" s="384"/>
      <c r="P362" s="215"/>
      <c r="Q362" s="215"/>
    </row>
    <row r="363" spans="1:17" ht="16.25" customHeight="1" x14ac:dyDescent="0.2">
      <c r="A363" s="910"/>
      <c r="B363" s="244"/>
      <c r="C363" s="265" t="str">
        <f>IF(C361&lt;&gt;"LC4800P","☐ 110V","")</f>
        <v>☐ 110V</v>
      </c>
      <c r="D363" s="385"/>
      <c r="E363" s="386" t="str">
        <f>IF(C361&lt;&gt;"LC4800P","220V : ☐ C","")</f>
        <v>220V : ☐ C</v>
      </c>
      <c r="F363" s="386" t="str">
        <f>IF(C361&lt;&gt;"LC4800P","☐ G","")</f>
        <v>☐ G</v>
      </c>
      <c r="G363" s="386" t="str">
        <f>IF(C361&lt;&gt;"LC4800P","☐ I","")</f>
        <v>☐ I</v>
      </c>
      <c r="H363" s="386" t="str">
        <f>IF(C361&lt;&gt;"LC4800P","☐ E","")</f>
        <v>☐ E</v>
      </c>
      <c r="I363" s="384"/>
      <c r="J363" s="384"/>
      <c r="K363" s="384"/>
      <c r="L363" s="384"/>
      <c r="M363" s="384"/>
      <c r="N363" s="384"/>
      <c r="O363" s="384"/>
      <c r="P363" s="215"/>
      <c r="Q363" s="215"/>
    </row>
    <row r="364" spans="1:17" ht="13.25" customHeight="1" x14ac:dyDescent="0.2">
      <c r="A364" s="460"/>
      <c r="B364" s="223"/>
      <c r="C364" s="307"/>
      <c r="D364" s="307"/>
      <c r="E364" s="307"/>
      <c r="F364" s="307"/>
      <c r="G364" s="307"/>
      <c r="H364" s="307"/>
      <c r="I364" s="307"/>
      <c r="J364" s="307"/>
      <c r="K364" s="307"/>
      <c r="L364" s="307"/>
      <c r="M364" s="265"/>
      <c r="N364" s="384"/>
      <c r="O364" s="384"/>
      <c r="P364" s="215"/>
      <c r="Q364" s="215"/>
    </row>
    <row r="365" spans="1:17" ht="16.25" customHeight="1" x14ac:dyDescent="0.2">
      <c r="A365" s="910" t="str">
        <f>"SCAN"&amp;_xlfn.AGGREGATE(3,7,$B$251,$B$255,$B$259,$B$263,$B$267,$B$271,$B$278,$B$285,$B$292,$B$299,$B$306,$B$310,$B$314,$B$318,$B$322,$B$326,$B$333,$B$340,$B$347,$B$354,$B$361)+1</f>
        <v>SCAN22</v>
      </c>
      <c r="B365" s="244" t="str">
        <f>"SCAN"&amp;_xlfn.AGGREGATE(3,7,$B$251,$B$255,$B$259,$B$263,$B$267,$B$271,$B$278,$B$285,$B$292,$B$299,$B$306,$B$310,$B$314,$B$318,$B$322,$B$326,$B$333,$B$340,$B$347,$B$354,$B$361)+1</f>
        <v>SCAN22</v>
      </c>
      <c r="C365" s="307" t="str">
        <f>IF(CAM_IndexScanner=1,"STD4800",IF(CAM_IndexScanner=2,"LA2400","LC4800P"))</f>
        <v>STD4800</v>
      </c>
      <c r="D365" s="382" t="str">
        <f>IF(CAM_IndexScanner=1,"V850",IF(CAM_IndexScanner=2,"Exp13000","V39 II"))</f>
        <v>V850</v>
      </c>
      <c r="E365" s="381"/>
      <c r="F365" s="307" t="str">
        <f>IF(C365&lt;&gt;"LC4800P","☐ Tête barrée","")</f>
        <v>☐ Tête barrée</v>
      </c>
      <c r="G365" s="307" t="s">
        <v>719</v>
      </c>
      <c r="H365" s="265"/>
      <c r="I365" s="439" t="str">
        <f>IF(C365&lt;&gt;"LC4800P","TPU  S/N","")</f>
        <v>TPU  S/N</v>
      </c>
      <c r="J365" s="383"/>
      <c r="K365" s="307" t="str">
        <f>IF(C365&lt;&gt;"LC4800P","☐ Tête barrée","")</f>
        <v>☐ Tête barrée</v>
      </c>
      <c r="L365" s="265"/>
      <c r="M365" s="307"/>
      <c r="N365" s="384"/>
      <c r="O365" s="384"/>
      <c r="P365" s="215"/>
      <c r="Q365" s="215"/>
    </row>
    <row r="366" spans="1:17" ht="18" customHeight="1" x14ac:dyDescent="0.2">
      <c r="A366" s="910"/>
      <c r="B366" s="244"/>
      <c r="C366" s="307" t="s">
        <v>246</v>
      </c>
      <c r="D366" s="265"/>
      <c r="E366" s="307"/>
      <c r="F366" s="307" t="str">
        <f>IF(CAM_PosiOrBlueBG_Checkbox,"☐ Fond Bleu " &amp; IF(CAM_IndexScanner=1,"STD",IF(CAM_IndexScanner=2,"LA","LC")),"")</f>
        <v>☐ Fond Bleu STD</v>
      </c>
      <c r="G366" s="307" t="str">
        <f>IF(C365&lt;&gt;"LC4800P","☐ Slides holders","")</f>
        <v>☐ Slides holders</v>
      </c>
      <c r="H366" s="265"/>
      <c r="I366" s="307" t="str">
        <f>"☐ " &amp; IF(CAM_IndexScanner=1,
"Label ""STD4800 Scanner""",
"Label ""LA2400 Scanner""")</f>
        <v>☐ Label "STD4800 Scanner"</v>
      </c>
      <c r="J366" s="216"/>
      <c r="K366" s="265"/>
      <c r="L366" s="265"/>
      <c r="M366" s="265"/>
      <c r="N366" s="384"/>
      <c r="O366" s="384"/>
      <c r="P366" s="215"/>
      <c r="Q366" s="215"/>
    </row>
    <row r="367" spans="1:17" ht="16.25" customHeight="1" x14ac:dyDescent="0.2">
      <c r="A367" s="910"/>
      <c r="B367" s="244"/>
      <c r="C367" s="265" t="str">
        <f>IF(C365&lt;&gt;"LC4800P","☐ 110V","")</f>
        <v>☐ 110V</v>
      </c>
      <c r="D367" s="385"/>
      <c r="E367" s="386" t="str">
        <f>IF(C365&lt;&gt;"LC4800P","220V : ☐ C","")</f>
        <v>220V : ☐ C</v>
      </c>
      <c r="F367" s="386" t="str">
        <f>IF(C365&lt;&gt;"LC4800P","☐ G","")</f>
        <v>☐ G</v>
      </c>
      <c r="G367" s="386" t="str">
        <f>IF(C365&lt;&gt;"LC4800P","☐ I","")</f>
        <v>☐ I</v>
      </c>
      <c r="H367" s="386" t="str">
        <f>IF(C365&lt;&gt;"LC4800P","☐ E","")</f>
        <v>☐ E</v>
      </c>
      <c r="I367" s="384"/>
      <c r="J367" s="384"/>
      <c r="K367" s="384"/>
      <c r="L367" s="384"/>
      <c r="M367" s="384"/>
      <c r="N367" s="384"/>
      <c r="O367" s="384"/>
      <c r="P367" s="215"/>
      <c r="Q367" s="215"/>
    </row>
    <row r="368" spans="1:17" ht="13.25" customHeight="1" x14ac:dyDescent="0.2">
      <c r="A368" s="460"/>
      <c r="B368" s="223"/>
      <c r="C368" s="307"/>
      <c r="D368" s="307"/>
      <c r="E368" s="307"/>
      <c r="F368" s="307"/>
      <c r="G368" s="307"/>
      <c r="H368" s="307"/>
      <c r="I368" s="307"/>
      <c r="J368" s="307"/>
      <c r="K368" s="307"/>
      <c r="L368" s="307"/>
      <c r="M368" s="265"/>
      <c r="N368" s="384"/>
      <c r="O368" s="384"/>
      <c r="P368" s="215"/>
      <c r="Q368" s="215"/>
    </row>
    <row r="369" spans="1:17" ht="16.25" customHeight="1" x14ac:dyDescent="0.2">
      <c r="A369" s="910" t="str">
        <f>"SCAN"&amp;_xlfn.AGGREGATE(3,7,$B$251,$B$255,$B$259,$B$263,$B$267,$B$271,$B$278,$B$285,$B$292,$B$299,$B$306,$B$310,$B$314,$B$318,$B$322,$B$326,$B$333,$B$340,$B$347,$B$354,$B$361,$B$365)+1</f>
        <v>SCAN23</v>
      </c>
      <c r="B369" s="244" t="str">
        <f>"SCAN"&amp;_xlfn.AGGREGATE(3,7,$B$251,$B$255,$B$259,$B$263,$B$267,$B$271,$B$278,$B$285,$B$292,$B$299,$B$306,$B$310,$B$314,$B$318,$B$322,$B$326,$B$333,$B$340,$B$347,$B$354,$B$361,$B$365)+1</f>
        <v>SCAN23</v>
      </c>
      <c r="C369" s="307" t="str">
        <f>IF(CAM_IndexScanner=1,"STD4800",IF(CAM_IndexScanner=2,"LA2400","LC4800P"))</f>
        <v>STD4800</v>
      </c>
      <c r="D369" s="382" t="str">
        <f>IF(CAM_IndexScanner=1,"V850",IF(CAM_IndexScanner=2,"Exp13000","V39 II"))</f>
        <v>V850</v>
      </c>
      <c r="E369" s="381"/>
      <c r="F369" s="307" t="str">
        <f>IF(C369&lt;&gt;"LC4800P","☐ Tête barrée","")</f>
        <v>☐ Tête barrée</v>
      </c>
      <c r="G369" s="307" t="s">
        <v>719</v>
      </c>
      <c r="H369" s="265"/>
      <c r="I369" s="439" t="str">
        <f>IF(C369&lt;&gt;"LC4800P","TPU  S/N","")</f>
        <v>TPU  S/N</v>
      </c>
      <c r="J369" s="383"/>
      <c r="K369" s="307" t="str">
        <f>IF(C369&lt;&gt;"LC4800P","☐ Tête barrée","")</f>
        <v>☐ Tête barrée</v>
      </c>
      <c r="L369" s="265"/>
      <c r="M369" s="307"/>
      <c r="N369" s="384"/>
      <c r="O369" s="384"/>
      <c r="P369" s="215"/>
      <c r="Q369" s="215"/>
    </row>
    <row r="370" spans="1:17" ht="18" customHeight="1" x14ac:dyDescent="0.2">
      <c r="A370" s="910"/>
      <c r="B370" s="244"/>
      <c r="C370" s="307" t="s">
        <v>246</v>
      </c>
      <c r="D370" s="265"/>
      <c r="E370" s="307"/>
      <c r="F370" s="307" t="str">
        <f>IF(CAM_PosiOrBlueBG_Checkbox,"☐ Fond Bleu " &amp; IF(CAM_IndexScanner=1,"STD",IF(CAM_IndexScanner=2,"LA","LC")),"")</f>
        <v>☐ Fond Bleu STD</v>
      </c>
      <c r="G370" s="307" t="str">
        <f>IF(C369&lt;&gt;"LC4800P","☐ Slides holders","")</f>
        <v>☐ Slides holders</v>
      </c>
      <c r="H370" s="265"/>
      <c r="I370" s="307" t="str">
        <f>"☐ " &amp; IF(CAM_IndexScanner=1,
"Label ""STD4800 Scanner""",
"Label ""LA2400 Scanner""")</f>
        <v>☐ Label "STD4800 Scanner"</v>
      </c>
      <c r="J370" s="307"/>
      <c r="K370" s="265"/>
      <c r="L370" s="265"/>
      <c r="M370" s="265"/>
      <c r="N370" s="384"/>
      <c r="O370" s="384"/>
      <c r="P370" s="215"/>
      <c r="Q370" s="215"/>
    </row>
    <row r="371" spans="1:17" ht="16.25" customHeight="1" x14ac:dyDescent="0.2">
      <c r="A371" s="910"/>
      <c r="B371" s="244"/>
      <c r="C371" s="265" t="str">
        <f>IF(C369&lt;&gt;"LC4800P","☐ 110V","")</f>
        <v>☐ 110V</v>
      </c>
      <c r="D371" s="385"/>
      <c r="E371" s="386" t="str">
        <f>IF(C369&lt;&gt;"LC4800P","220V : ☐ C","")</f>
        <v>220V : ☐ C</v>
      </c>
      <c r="F371" s="386" t="str">
        <f>IF(C369&lt;&gt;"LC4800P","☐ G","")</f>
        <v>☐ G</v>
      </c>
      <c r="G371" s="386" t="str">
        <f>IF(C369&lt;&gt;"LC4800P","☐ I","")</f>
        <v>☐ I</v>
      </c>
      <c r="H371" s="386" t="str">
        <f>IF(C369&lt;&gt;"LC4800P","☐ E","")</f>
        <v>☐ E</v>
      </c>
      <c r="I371" s="384"/>
      <c r="J371" s="384"/>
      <c r="K371" s="384"/>
      <c r="L371" s="384"/>
      <c r="M371" s="384"/>
      <c r="N371" s="384"/>
      <c r="O371" s="384"/>
      <c r="P371" s="215"/>
      <c r="Q371" s="215"/>
    </row>
    <row r="372" spans="1:17" ht="13.25" customHeight="1" x14ac:dyDescent="0.2">
      <c r="A372" s="460"/>
      <c r="B372" s="223"/>
      <c r="C372" s="307"/>
      <c r="D372" s="307"/>
      <c r="E372" s="307"/>
      <c r="F372" s="307"/>
      <c r="G372" s="307"/>
      <c r="H372" s="307"/>
      <c r="I372" s="307"/>
      <c r="J372" s="307"/>
      <c r="K372" s="307"/>
      <c r="L372" s="307"/>
      <c r="M372" s="265"/>
      <c r="N372" s="384"/>
      <c r="O372" s="384"/>
      <c r="P372" s="215"/>
      <c r="Q372" s="215"/>
    </row>
    <row r="373" spans="1:17" ht="16.25" customHeight="1" x14ac:dyDescent="0.2">
      <c r="A373" s="910" t="str">
        <f>"SCAN"&amp;_xlfn.AGGREGATE(3,7,$B$251,$B$255,$B$259,$B$263,$B$267,$B$271,$B$278,$B$285,$B$292,$B$299,$B$306,$B$310,$B$314,$B$318,$B$322,$B$326,$B$333,$B$340,$B$347,$B$354,$B$361,$B$365,$B$369)+1</f>
        <v>SCAN24</v>
      </c>
      <c r="B373" s="244" t="str">
        <f>"SCAN"&amp;_xlfn.AGGREGATE(3,7,$B$251,$B$255,$B$259,$B$263,$B$267,$B$271,$B$278,$B$285,$B$292,$B$299,$B$306,$B$310,$B$314,$B$318,$B$322,$B$326,$B$333,$B$340,$B$347,$B$354,$B$361,$B$365,$B$369)+1</f>
        <v>SCAN24</v>
      </c>
      <c r="C373" s="307" t="str">
        <f>IF(CAM_IndexScanner=1,"STD4800",IF(CAM_IndexScanner=2,"LA2400","LC4800P"))</f>
        <v>STD4800</v>
      </c>
      <c r="D373" s="382" t="str">
        <f>IF(CAM_IndexScanner=1,"V850",IF(CAM_IndexScanner=2,"Exp13000","V39 II"))</f>
        <v>V850</v>
      </c>
      <c r="E373" s="381"/>
      <c r="F373" s="307" t="str">
        <f>IF(C373&lt;&gt;"LC4800P","☐ Tête barrée","")</f>
        <v>☐ Tête barrée</v>
      </c>
      <c r="G373" s="307" t="s">
        <v>719</v>
      </c>
      <c r="H373" s="265"/>
      <c r="I373" s="439" t="str">
        <f>IF(C373&lt;&gt;"LC4800P","TPU  S/N","")</f>
        <v>TPU  S/N</v>
      </c>
      <c r="J373" s="383"/>
      <c r="K373" s="307" t="str">
        <f>IF(C373&lt;&gt;"LC4800P","☐ Tête barrée","")</f>
        <v>☐ Tête barrée</v>
      </c>
      <c r="L373" s="265"/>
      <c r="M373" s="307"/>
      <c r="N373" s="384"/>
      <c r="O373" s="384"/>
      <c r="P373" s="215"/>
      <c r="Q373" s="215"/>
    </row>
    <row r="374" spans="1:17" ht="18" customHeight="1" x14ac:dyDescent="0.2">
      <c r="A374" s="910"/>
      <c r="B374" s="244"/>
      <c r="C374" s="307" t="s">
        <v>246</v>
      </c>
      <c r="D374" s="265"/>
      <c r="E374" s="307"/>
      <c r="F374" s="307" t="str">
        <f>IF(CAM_PosiOrBlueBG_Checkbox,"☐ Fond Bleu " &amp; IF(CAM_IndexScanner=1,"STD",IF(CAM_IndexScanner=2,"LA","LC")),"")</f>
        <v>☐ Fond Bleu STD</v>
      </c>
      <c r="G374" s="307" t="str">
        <f>IF(C373&lt;&gt;"LC4800P","☐ Slides holders","")</f>
        <v>☐ Slides holders</v>
      </c>
      <c r="H374" s="265"/>
      <c r="I374" s="307" t="str">
        <f>"☐ " &amp; IF(CAM_IndexScanner=1,
"Label ""STD4800 Scanner""",
"Label ""LA2400 Scanner""")</f>
        <v>☐ Label "STD4800 Scanner"</v>
      </c>
      <c r="J374" s="307"/>
      <c r="K374" s="265"/>
      <c r="L374" s="265"/>
      <c r="M374" s="265"/>
      <c r="N374" s="384"/>
      <c r="O374" s="384"/>
      <c r="P374" s="215"/>
      <c r="Q374" s="215"/>
    </row>
    <row r="375" spans="1:17" ht="16.25" customHeight="1" x14ac:dyDescent="0.2">
      <c r="A375" s="910"/>
      <c r="B375" s="244"/>
      <c r="C375" s="265" t="str">
        <f>IF(C373&lt;&gt;"LC4800P","☐ 110V","")</f>
        <v>☐ 110V</v>
      </c>
      <c r="D375" s="385"/>
      <c r="E375" s="386" t="str">
        <f>IF(C373&lt;&gt;"LC4800P","220V : ☐ C","")</f>
        <v>220V : ☐ C</v>
      </c>
      <c r="F375" s="386" t="str">
        <f>IF(C373&lt;&gt;"LC4800P","☐ G","")</f>
        <v>☐ G</v>
      </c>
      <c r="G375" s="386" t="str">
        <f>IF(C373&lt;&gt;"LC4800P","☐ I","")</f>
        <v>☐ I</v>
      </c>
      <c r="H375" s="386" t="str">
        <f>IF(C373&lt;&gt;"LC4800P","☐ E","")</f>
        <v>☐ E</v>
      </c>
      <c r="I375" s="384"/>
      <c r="J375" s="384"/>
      <c r="K375" s="384"/>
      <c r="L375" s="384"/>
      <c r="M375" s="384"/>
      <c r="N375" s="384"/>
      <c r="O375" s="384"/>
      <c r="P375" s="215"/>
      <c r="Q375" s="215"/>
    </row>
    <row r="376" spans="1:17" ht="13.25" customHeight="1" x14ac:dyDescent="0.2">
      <c r="A376" s="460"/>
      <c r="B376" s="223"/>
      <c r="C376" s="307"/>
      <c r="D376" s="307"/>
      <c r="E376" s="307"/>
      <c r="F376" s="307"/>
      <c r="G376" s="307"/>
      <c r="H376" s="307"/>
      <c r="I376" s="307"/>
      <c r="J376" s="307"/>
      <c r="K376" s="307"/>
      <c r="L376" s="307"/>
      <c r="M376" s="265"/>
      <c r="N376" s="384"/>
      <c r="O376" s="384"/>
      <c r="P376" s="215"/>
      <c r="Q376" s="215"/>
    </row>
    <row r="377" spans="1:17" ht="16.25" customHeight="1" x14ac:dyDescent="0.2">
      <c r="A377" s="910" t="str">
        <f>"SCAN"&amp;_xlfn.AGGREGATE(3,7,$B$251,$B$255,$B$259,$B$263,$B$267,$B$271,$B$278,$B$285,$B$292,$B$299,$B$306,$B$310,$B$314,$B$318,$B$322,$B$326,$B$333,$B$340,$B$347,$B$354,$B$361,$B$365,$B$369,$B$373)+1</f>
        <v>SCAN25</v>
      </c>
      <c r="B377" s="244" t="str">
        <f>"SCAN"&amp;_xlfn.AGGREGATE(3,7,$B$251,$B$255,$B$259,$B$263,$B$267,$B$271,$B$278,$B$285,$B$292,$B$299,$B$306,$B$310,$B$314,$B$318,$B$322,$B$326,$B$333,$B$340,$B$347,$B$354,$B$361,$B$365,$B$369,$B$373)+1</f>
        <v>SCAN25</v>
      </c>
      <c r="C377" s="307" t="str">
        <f>IF(CAM_IndexScanner=1,"STD4800",IF(CAM_IndexScanner=2,"LA2400","LC4800P"))</f>
        <v>STD4800</v>
      </c>
      <c r="D377" s="382" t="str">
        <f>IF(CAM_IndexScanner=1,"V850",IF(CAM_IndexScanner=2,"Exp13000","V39 II"))</f>
        <v>V850</v>
      </c>
      <c r="E377" s="381"/>
      <c r="F377" s="307" t="str">
        <f>IF(C377&lt;&gt;"LC4800P","☐ Tête barrée","")</f>
        <v>☐ Tête barrée</v>
      </c>
      <c r="G377" s="307" t="s">
        <v>719</v>
      </c>
      <c r="H377" s="265"/>
      <c r="I377" s="439" t="str">
        <f>IF(C377&lt;&gt;"LC4800P","TPU  S/N","")</f>
        <v>TPU  S/N</v>
      </c>
      <c r="J377" s="383"/>
      <c r="K377" s="307" t="str">
        <f>IF(C377&lt;&gt;"LC4800P","☐ Tête barrée","")</f>
        <v>☐ Tête barrée</v>
      </c>
      <c r="L377" s="265"/>
      <c r="M377" s="307"/>
      <c r="N377" s="384"/>
      <c r="O377" s="384"/>
      <c r="P377" s="215"/>
      <c r="Q377" s="215"/>
    </row>
    <row r="378" spans="1:17" ht="18" customHeight="1" x14ac:dyDescent="0.2">
      <c r="A378" s="910"/>
      <c r="B378" s="244"/>
      <c r="C378" s="307" t="s">
        <v>246</v>
      </c>
      <c r="D378" s="265"/>
      <c r="E378" s="307"/>
      <c r="F378" s="307" t="str">
        <f>IF(CAM_PosiOrBlueBG_Checkbox,"☐ Fond Bleu " &amp; IF(CAM_IndexScanner=1,"STD",IF(CAM_IndexScanner=2,"LA","LC")),"")</f>
        <v>☐ Fond Bleu STD</v>
      </c>
      <c r="G378" s="307" t="str">
        <f>IF(C377&lt;&gt;"LC4800P","☐ Slides holders","")</f>
        <v>☐ Slides holders</v>
      </c>
      <c r="H378" s="265"/>
      <c r="I378" s="307" t="str">
        <f>"☐ " &amp; IF(CAM_IndexScanner=1,
"Label ""STD4800 Scanner""",
"Label ""LA2400 Scanner""")</f>
        <v>☐ Label "STD4800 Scanner"</v>
      </c>
      <c r="J378" s="307"/>
      <c r="K378" s="265"/>
      <c r="L378" s="265"/>
      <c r="M378" s="265"/>
      <c r="N378" s="384"/>
      <c r="O378" s="384"/>
      <c r="P378" s="215"/>
      <c r="Q378" s="215"/>
    </row>
    <row r="379" spans="1:17" ht="16.25" customHeight="1" x14ac:dyDescent="0.2">
      <c r="A379" s="910"/>
      <c r="B379" s="244"/>
      <c r="C379" s="265" t="str">
        <f>IF(C377&lt;&gt;"LC4800P","☐ 110V","")</f>
        <v>☐ 110V</v>
      </c>
      <c r="D379" s="385"/>
      <c r="E379" s="386" t="str">
        <f>IF(C377&lt;&gt;"LC4800P","220V : ☐ C","")</f>
        <v>220V : ☐ C</v>
      </c>
      <c r="F379" s="386" t="str">
        <f>IF(C377&lt;&gt;"LC4800P","☐ G","")</f>
        <v>☐ G</v>
      </c>
      <c r="G379" s="386" t="str">
        <f>IF(C377&lt;&gt;"LC4800P","☐ I","")</f>
        <v>☐ I</v>
      </c>
      <c r="H379" s="386" t="str">
        <f>IF(C377&lt;&gt;"LC4800P","☐ E","")</f>
        <v>☐ E</v>
      </c>
      <c r="I379" s="384"/>
      <c r="J379" s="384"/>
      <c r="K379" s="384"/>
      <c r="L379" s="384"/>
      <c r="M379" s="384"/>
      <c r="N379" s="384"/>
      <c r="O379" s="384"/>
      <c r="P379" s="215"/>
      <c r="Q379" s="215"/>
    </row>
    <row r="380" spans="1:17" ht="18" customHeight="1" x14ac:dyDescent="0.2">
      <c r="A380" s="435"/>
      <c r="B380" s="264"/>
      <c r="C380" s="397"/>
      <c r="D380" s="397"/>
      <c r="E380" s="397"/>
      <c r="F380" s="397"/>
      <c r="G380" s="397"/>
      <c r="H380" s="398"/>
      <c r="I380" s="397"/>
      <c r="J380" s="397"/>
      <c r="K380" s="398"/>
      <c r="L380" s="397"/>
      <c r="M380" s="397"/>
      <c r="N380" s="397"/>
      <c r="O380" s="384"/>
      <c r="P380" s="215"/>
      <c r="Q380" s="215"/>
    </row>
    <row r="381" spans="1:17" ht="18" customHeight="1" x14ac:dyDescent="0.2">
      <c r="A381" s="909" t="str">
        <f>"CAMERA "&amp;1</f>
        <v>CAMERA 1</v>
      </c>
      <c r="B381" s="244" t="str">
        <f>"CAMERA "&amp;1</f>
        <v>CAMERA 1</v>
      </c>
      <c r="C381" s="307" t="str">
        <f xml:space="preserve">
IF(SCANOPY_IndexScanner=1,"Camera α","Camera")</f>
        <v>Camera α</v>
      </c>
      <c r="D381" s="382">
        <f>IF(SCANOPY_IndexScanner=1,SCANOPY_CameraModel,SCANOPY_CameraModel_Mini)</f>
        <v>6100</v>
      </c>
      <c r="E381" s="381"/>
      <c r="F381" s="442" t="s">
        <v>314</v>
      </c>
      <c r="G381" s="383" t="str">
        <f>IF(SCANOPY_IndexScanner=1,"Madoka","GoPro LM2")</f>
        <v>Madoka</v>
      </c>
      <c r="H381" s="384" t="s">
        <v>147</v>
      </c>
      <c r="I381" s="383"/>
      <c r="J381" s="307" t="str">
        <f>"☐ Documents et items manufacturier"</f>
        <v>☐ Documents et items manufacturier</v>
      </c>
      <c r="K381" s="386"/>
      <c r="L381" s="385"/>
      <c r="M381" s="385"/>
      <c r="N381" s="384"/>
      <c r="O381" s="384"/>
      <c r="P381" s="215"/>
      <c r="Q381" s="215"/>
    </row>
    <row r="382" spans="1:17" ht="18" customHeight="1" x14ac:dyDescent="0.2">
      <c r="A382" s="909"/>
      <c r="B382" s="244"/>
      <c r="C382" s="307" t="str">
        <f>"☐ Carte SD"</f>
        <v>☐ Carte SD</v>
      </c>
      <c r="D382" s="265" t="str">
        <f>"☐ 2 Batteries"</f>
        <v>☐ 2 Batteries</v>
      </c>
      <c r="E382" s="265" t="str">
        <f>"☐ Chargeur USB"</f>
        <v>☐ Chargeur USB</v>
      </c>
      <c r="F382" s="265" t="str">
        <f>"☐ Remote"</f>
        <v>☐ Remote</v>
      </c>
      <c r="G382" s="307"/>
      <c r="H382" s="265"/>
      <c r="I382" s="385"/>
      <c r="J382" s="385"/>
      <c r="K382" s="265"/>
      <c r="L382" s="265"/>
      <c r="M382" s="265"/>
      <c r="N382" s="384"/>
      <c r="O382" s="384"/>
      <c r="P382" s="215"/>
      <c r="Q382" s="215"/>
    </row>
    <row r="383" spans="1:17" ht="18" customHeight="1" x14ac:dyDescent="0.2">
      <c r="A383" s="909"/>
      <c r="B383" s="223"/>
      <c r="C383" s="307"/>
      <c r="D383" s="386"/>
      <c r="E383" s="384"/>
      <c r="F383" s="307" t="str">
        <f>"☐ Valise"</f>
        <v>☐ Valise</v>
      </c>
      <c r="G383" s="384"/>
      <c r="H383" s="384"/>
      <c r="I383" s="384"/>
      <c r="J383" s="384"/>
      <c r="K383" s="384"/>
      <c r="L383" s="384"/>
      <c r="M383" s="384"/>
      <c r="N383" s="384"/>
      <c r="O383" s="384"/>
      <c r="P383" s="215"/>
      <c r="Q383" s="215"/>
    </row>
    <row r="384" spans="1:17" ht="18" customHeight="1" x14ac:dyDescent="0.2">
      <c r="A384" s="458"/>
      <c r="B384" s="223"/>
      <c r="C384" s="307"/>
      <c r="D384" s="307"/>
      <c r="E384" s="307"/>
      <c r="F384" s="307"/>
      <c r="G384" s="307"/>
      <c r="H384" s="265"/>
      <c r="I384" s="265"/>
      <c r="J384" s="388"/>
      <c r="K384" s="388"/>
      <c r="L384" s="388"/>
      <c r="M384" s="388"/>
      <c r="N384" s="384"/>
      <c r="O384" s="384"/>
      <c r="P384" s="215"/>
      <c r="Q384" s="215"/>
    </row>
    <row r="385" spans="1:17" ht="18" customHeight="1" x14ac:dyDescent="0.2">
      <c r="A385" s="909" t="str">
        <f>"CAMERA "&amp;_xlfn.AGGREGATE(3,7,$B$381)+1</f>
        <v>CAMERA 2</v>
      </c>
      <c r="B385" s="244" t="str">
        <f>"CAMERA "&amp;_xlfn.AGGREGATE(3,7,$B$381)+1</f>
        <v>CAMERA 2</v>
      </c>
      <c r="C385" s="307" t="str">
        <f xml:space="preserve">
IF(SCANOPY_IndexScanner=1,"Camera α","Camera")</f>
        <v>Camera α</v>
      </c>
      <c r="D385" s="382">
        <f>IF(SCANOPY_IndexScanner=1,SCANOPY_CameraModel,SCANOPY_CameraModel_Mini)</f>
        <v>6100</v>
      </c>
      <c r="E385" s="381"/>
      <c r="F385" s="442" t="s">
        <v>314</v>
      </c>
      <c r="G385" s="383" t="str">
        <f>IF(SCANOPY_IndexScanner=1,"Madoka","GoPro LM2")</f>
        <v>Madoka</v>
      </c>
      <c r="H385" s="384" t="s">
        <v>147</v>
      </c>
      <c r="I385" s="383"/>
      <c r="J385" s="307" t="str">
        <f>"☐ Documents et items manufacturier"</f>
        <v>☐ Documents et items manufacturier</v>
      </c>
      <c r="K385" s="386"/>
      <c r="L385" s="385"/>
      <c r="M385" s="385"/>
      <c r="N385" s="384"/>
      <c r="O385" s="384"/>
      <c r="P385" s="215"/>
      <c r="Q385" s="215"/>
    </row>
    <row r="386" spans="1:17" ht="18" customHeight="1" x14ac:dyDescent="0.2">
      <c r="A386" s="909"/>
      <c r="B386" s="244"/>
      <c r="C386" s="307" t="str">
        <f>"☐ Carte SD"</f>
        <v>☐ Carte SD</v>
      </c>
      <c r="D386" s="265" t="str">
        <f>"☐ 2 Batteries"</f>
        <v>☐ 2 Batteries</v>
      </c>
      <c r="E386" s="265" t="str">
        <f>"☐ Chargeur USB"</f>
        <v>☐ Chargeur USB</v>
      </c>
      <c r="F386" s="265" t="str">
        <f>"☐ Remote"</f>
        <v>☐ Remote</v>
      </c>
      <c r="G386" s="307"/>
      <c r="H386" s="265"/>
      <c r="I386" s="385"/>
      <c r="J386" s="385"/>
      <c r="K386" s="265"/>
      <c r="L386" s="265"/>
      <c r="M386" s="265"/>
      <c r="N386" s="384"/>
      <c r="O386" s="384"/>
      <c r="P386" s="215"/>
      <c r="Q386" s="215"/>
    </row>
    <row r="387" spans="1:17" ht="18" customHeight="1" x14ac:dyDescent="0.2">
      <c r="A387" s="909"/>
      <c r="B387" s="223"/>
      <c r="C387" s="307"/>
      <c r="D387" s="386"/>
      <c r="E387" s="384"/>
      <c r="F387" s="307" t="str">
        <f>"☐ Valise"</f>
        <v>☐ Valise</v>
      </c>
      <c r="G387" s="384"/>
      <c r="H387" s="384"/>
      <c r="I387" s="384"/>
      <c r="J387" s="384"/>
      <c r="K387" s="384"/>
      <c r="L387" s="384"/>
      <c r="M387" s="384"/>
      <c r="N387" s="384"/>
      <c r="O387" s="384"/>
      <c r="P387" s="215"/>
      <c r="Q387" s="215"/>
    </row>
    <row r="388" spans="1:17" ht="18" customHeight="1" x14ac:dyDescent="0.2">
      <c r="A388" s="458"/>
      <c r="B388" s="223"/>
      <c r="C388" s="307"/>
      <c r="D388" s="307"/>
      <c r="E388" s="307"/>
      <c r="F388" s="307"/>
      <c r="G388" s="307"/>
      <c r="H388" s="265"/>
      <c r="I388" s="265"/>
      <c r="J388" s="388"/>
      <c r="K388" s="388"/>
      <c r="L388" s="388"/>
      <c r="M388" s="388"/>
      <c r="N388" s="384"/>
      <c r="O388" s="384"/>
      <c r="P388" s="215"/>
      <c r="Q388" s="215"/>
    </row>
    <row r="389" spans="1:17" ht="18" customHeight="1" x14ac:dyDescent="0.2">
      <c r="A389" s="909" t="str">
        <f>"CAMERA "&amp;_xlfn.AGGREGATE(3,7,$B$381,$B$385)+1</f>
        <v>CAMERA 3</v>
      </c>
      <c r="B389" s="244" t="str">
        <f>"CAMERA "&amp;_xlfn.AGGREGATE(3,7,$B$381,$B$385)+1</f>
        <v>CAMERA 3</v>
      </c>
      <c r="C389" s="307" t="str">
        <f xml:space="preserve">
IF(SCANOPY_IndexScanner=1,"Camera α","Camera")</f>
        <v>Camera α</v>
      </c>
      <c r="D389" s="382">
        <f>IF(SCANOPY_IndexScanner=1,SCANOPY_CameraModel,SCANOPY_CameraModel_Mini)</f>
        <v>6100</v>
      </c>
      <c r="E389" s="381"/>
      <c r="F389" s="442" t="s">
        <v>314</v>
      </c>
      <c r="G389" s="383" t="str">
        <f>IF(SCANOPY_IndexScanner=1,"Madoka","GoPro LM2")</f>
        <v>Madoka</v>
      </c>
      <c r="H389" s="384" t="s">
        <v>147</v>
      </c>
      <c r="I389" s="383"/>
      <c r="J389" s="307" t="str">
        <f>"☐ Documents et items manufacturier"</f>
        <v>☐ Documents et items manufacturier</v>
      </c>
      <c r="K389" s="386"/>
      <c r="L389" s="385"/>
      <c r="M389" s="385"/>
      <c r="N389" s="384"/>
      <c r="O389" s="384"/>
      <c r="P389" s="215"/>
      <c r="Q389" s="215"/>
    </row>
    <row r="390" spans="1:17" ht="18" customHeight="1" x14ac:dyDescent="0.2">
      <c r="A390" s="909"/>
      <c r="B390" s="244"/>
      <c r="C390" s="307" t="str">
        <f>"☐ Carte SD"</f>
        <v>☐ Carte SD</v>
      </c>
      <c r="D390" s="265" t="str">
        <f>"☐ 2 Batteries"</f>
        <v>☐ 2 Batteries</v>
      </c>
      <c r="E390" s="265" t="str">
        <f>"☐ Chargeur USB"</f>
        <v>☐ Chargeur USB</v>
      </c>
      <c r="F390" s="265" t="str">
        <f>"☐ Remote"</f>
        <v>☐ Remote</v>
      </c>
      <c r="G390" s="307"/>
      <c r="H390" s="265"/>
      <c r="I390" s="385"/>
      <c r="J390" s="385"/>
      <c r="K390" s="265"/>
      <c r="L390" s="265"/>
      <c r="M390" s="265"/>
      <c r="N390" s="384"/>
      <c r="O390" s="384"/>
      <c r="P390" s="215"/>
      <c r="Q390" s="215"/>
    </row>
    <row r="391" spans="1:17" ht="18" customHeight="1" x14ac:dyDescent="0.2">
      <c r="A391" s="909"/>
      <c r="B391" s="223"/>
      <c r="C391" s="307"/>
      <c r="D391" s="386"/>
      <c r="E391" s="384"/>
      <c r="F391" s="307" t="str">
        <f>"☐ Valise"</f>
        <v>☐ Valise</v>
      </c>
      <c r="G391" s="384"/>
      <c r="H391" s="384"/>
      <c r="I391" s="384"/>
      <c r="J391" s="384"/>
      <c r="K391" s="384"/>
      <c r="L391" s="384"/>
      <c r="M391" s="384"/>
      <c r="N391" s="384"/>
      <c r="O391" s="384"/>
      <c r="P391" s="215"/>
      <c r="Q391" s="215"/>
    </row>
    <row r="392" spans="1:17" ht="18" customHeight="1" x14ac:dyDescent="0.2">
      <c r="A392" s="458"/>
      <c r="B392" s="223"/>
      <c r="C392" s="307"/>
      <c r="D392" s="307"/>
      <c r="E392" s="307"/>
      <c r="F392" s="307"/>
      <c r="G392" s="307"/>
      <c r="H392" s="265"/>
      <c r="I392" s="265"/>
      <c r="J392" s="388"/>
      <c r="K392" s="388"/>
      <c r="L392" s="388"/>
      <c r="M392" s="388"/>
      <c r="N392" s="384"/>
      <c r="O392" s="384"/>
      <c r="P392" s="215"/>
      <c r="Q392" s="215"/>
    </row>
    <row r="393" spans="1:17" ht="18" customHeight="1" x14ac:dyDescent="0.2">
      <c r="A393" s="909" t="str">
        <f>"CAMERA "&amp;_xlfn.AGGREGATE(3,7,$B$381,$B$385,$B$389)+1</f>
        <v>CAMERA 4</v>
      </c>
      <c r="B393" s="244" t="str">
        <f>"CAMERA "&amp;_xlfn.AGGREGATE(3,7,$B$381,$B$385,$B$389)+1</f>
        <v>CAMERA 4</v>
      </c>
      <c r="C393" s="307" t="str">
        <f xml:space="preserve">
IF(SCANOPY_IndexScanner=1,"Camera α","Camera")</f>
        <v>Camera α</v>
      </c>
      <c r="D393" s="382">
        <f>IF(SCANOPY_IndexScanner=1,SCANOPY_CameraModel,SCANOPY_CameraModel_Mini)</f>
        <v>6100</v>
      </c>
      <c r="E393" s="381"/>
      <c r="F393" s="442" t="s">
        <v>314</v>
      </c>
      <c r="G393" s="383" t="str">
        <f>IF(SCANOPY_IndexScanner=1,"Madoka","GoPro LM2")</f>
        <v>Madoka</v>
      </c>
      <c r="H393" s="384" t="s">
        <v>147</v>
      </c>
      <c r="I393" s="383"/>
      <c r="J393" s="307" t="str">
        <f>"☐ Documents et items manufacturier"</f>
        <v>☐ Documents et items manufacturier</v>
      </c>
      <c r="K393" s="386"/>
      <c r="L393" s="385"/>
      <c r="M393" s="385"/>
      <c r="N393" s="384"/>
      <c r="O393" s="384"/>
      <c r="P393" s="215"/>
      <c r="Q393" s="215"/>
    </row>
    <row r="394" spans="1:17" ht="18" customHeight="1" x14ac:dyDescent="0.2">
      <c r="A394" s="909"/>
      <c r="B394" s="244"/>
      <c r="C394" s="307" t="str">
        <f>"☐ Carte SD"</f>
        <v>☐ Carte SD</v>
      </c>
      <c r="D394" s="265" t="str">
        <f>"☐ 2 Batteries"</f>
        <v>☐ 2 Batteries</v>
      </c>
      <c r="E394" s="265" t="str">
        <f>"☐ Chargeur USB"</f>
        <v>☐ Chargeur USB</v>
      </c>
      <c r="F394" s="265" t="str">
        <f>"☐ Remote"</f>
        <v>☐ Remote</v>
      </c>
      <c r="G394" s="307"/>
      <c r="H394" s="265"/>
      <c r="I394" s="385"/>
      <c r="J394" s="385"/>
      <c r="K394" s="265"/>
      <c r="L394" s="265"/>
      <c r="M394" s="265"/>
      <c r="N394" s="384"/>
      <c r="O394" s="384"/>
      <c r="P394" s="215"/>
      <c r="Q394" s="215"/>
    </row>
    <row r="395" spans="1:17" ht="18" customHeight="1" x14ac:dyDescent="0.2">
      <c r="A395" s="909"/>
      <c r="B395" s="223"/>
      <c r="C395" s="307"/>
      <c r="D395" s="386"/>
      <c r="E395" s="384"/>
      <c r="F395" s="307" t="str">
        <f>"☐ Valise"</f>
        <v>☐ Valise</v>
      </c>
      <c r="G395" s="384"/>
      <c r="H395" s="384"/>
      <c r="I395" s="384"/>
      <c r="J395" s="384"/>
      <c r="K395" s="384"/>
      <c r="L395" s="384"/>
      <c r="M395" s="384"/>
      <c r="N395" s="384"/>
      <c r="O395" s="384"/>
      <c r="P395" s="215"/>
      <c r="Q395" s="215"/>
    </row>
    <row r="396" spans="1:17" ht="18" customHeight="1" x14ac:dyDescent="0.2">
      <c r="A396" s="458"/>
      <c r="B396" s="223"/>
      <c r="C396" s="307"/>
      <c r="D396" s="307"/>
      <c r="E396" s="307"/>
      <c r="F396" s="307"/>
      <c r="G396" s="307"/>
      <c r="H396" s="265"/>
      <c r="I396" s="265"/>
      <c r="J396" s="388"/>
      <c r="K396" s="388"/>
      <c r="L396" s="388"/>
      <c r="M396" s="388"/>
      <c r="N396" s="384"/>
      <c r="O396" s="384"/>
      <c r="P396" s="215"/>
      <c r="Q396" s="215"/>
    </row>
    <row r="397" spans="1:17" ht="18" customHeight="1" x14ac:dyDescent="0.2">
      <c r="A397" s="909" t="str">
        <f>"CAMERA "&amp;_xlfn.AGGREGATE(3,7,$B$381,$B$385,$B$49,$B$393)+1</f>
        <v>CAMERA 5</v>
      </c>
      <c r="B397" s="244" t="str">
        <f>"CAMERA "&amp;_xlfn.AGGREGATE(3,7,$B$381,$B$385,$B$49,$B$393)+1</f>
        <v>CAMERA 5</v>
      </c>
      <c r="C397" s="307" t="str">
        <f xml:space="preserve">
IF(SCANOPY_IndexScanner=1,"Camera α","Camera")</f>
        <v>Camera α</v>
      </c>
      <c r="D397" s="382">
        <f>IF(SCANOPY_IndexScanner=1,SCANOPY_CameraModel,SCANOPY_CameraModel_Mini)</f>
        <v>6100</v>
      </c>
      <c r="E397" s="381"/>
      <c r="F397" s="442" t="s">
        <v>314</v>
      </c>
      <c r="G397" s="383" t="str">
        <f>IF(SCANOPY_IndexScanner=1,"Madoka","GoPro LM2")</f>
        <v>Madoka</v>
      </c>
      <c r="H397" s="384" t="s">
        <v>147</v>
      </c>
      <c r="I397" s="383"/>
      <c r="J397" s="307" t="str">
        <f>"☐ Documents et items manufacturier"</f>
        <v>☐ Documents et items manufacturier</v>
      </c>
      <c r="K397" s="386"/>
      <c r="L397" s="385"/>
      <c r="M397" s="385"/>
      <c r="N397" s="384"/>
      <c r="O397" s="384"/>
      <c r="P397" s="215"/>
      <c r="Q397" s="215"/>
    </row>
    <row r="398" spans="1:17" ht="18" customHeight="1" x14ac:dyDescent="0.2">
      <c r="A398" s="909"/>
      <c r="B398" s="244"/>
      <c r="C398" s="307" t="str">
        <f>"☐ Carte SD"</f>
        <v>☐ Carte SD</v>
      </c>
      <c r="D398" s="265" t="str">
        <f>"☐ 2 Batteries"</f>
        <v>☐ 2 Batteries</v>
      </c>
      <c r="E398" s="265" t="str">
        <f>"☐ Chargeur USB"</f>
        <v>☐ Chargeur USB</v>
      </c>
      <c r="F398" s="265" t="str">
        <f>"☐ Remote"</f>
        <v>☐ Remote</v>
      </c>
      <c r="G398" s="307"/>
      <c r="H398" s="265"/>
      <c r="I398" s="385"/>
      <c r="J398" s="385"/>
      <c r="K398" s="265"/>
      <c r="L398" s="265"/>
      <c r="M398" s="265"/>
      <c r="N398" s="384"/>
      <c r="O398" s="384"/>
      <c r="P398" s="215"/>
      <c r="Q398" s="215"/>
    </row>
    <row r="399" spans="1:17" ht="18" customHeight="1" x14ac:dyDescent="0.2">
      <c r="A399" s="909"/>
      <c r="B399" s="223"/>
      <c r="C399" s="307"/>
      <c r="D399" s="386"/>
      <c r="E399" s="384"/>
      <c r="F399" s="307" t="str">
        <f>"☐ Valise"</f>
        <v>☐ Valise</v>
      </c>
      <c r="G399" s="384"/>
      <c r="H399" s="384"/>
      <c r="I399" s="384"/>
      <c r="J399" s="384"/>
      <c r="K399" s="384"/>
      <c r="L399" s="384"/>
      <c r="M399" s="384"/>
      <c r="N399" s="384"/>
      <c r="O399" s="384"/>
      <c r="P399" s="215"/>
      <c r="Q399" s="215"/>
    </row>
    <row r="400" spans="1:17" ht="18" customHeight="1" x14ac:dyDescent="0.25">
      <c r="A400" s="425"/>
      <c r="B400" s="267" t="s">
        <v>143</v>
      </c>
      <c r="C400" s="436" t="s">
        <v>143</v>
      </c>
      <c r="D400" s="399"/>
      <c r="E400" s="399"/>
      <c r="F400" s="399"/>
      <c r="G400" s="400"/>
      <c r="H400" s="401"/>
      <c r="I400" s="401"/>
      <c r="J400" s="401"/>
      <c r="K400" s="401"/>
      <c r="L400" s="401"/>
      <c r="M400" s="401"/>
      <c r="N400" s="401"/>
      <c r="O400" s="384"/>
      <c r="P400" s="215"/>
      <c r="Q400" s="215"/>
    </row>
    <row r="401" spans="1:17" ht="18" customHeight="1" x14ac:dyDescent="0.2">
      <c r="A401" s="461"/>
      <c r="B401" s="222"/>
      <c r="C401" s="402"/>
      <c r="D401" s="402"/>
      <c r="E401" s="402"/>
      <c r="F401" s="402"/>
      <c r="G401" s="402"/>
      <c r="H401" s="402"/>
      <c r="I401" s="402"/>
      <c r="J401" s="402"/>
      <c r="K401" s="402"/>
      <c r="L401" s="402"/>
      <c r="M401" s="402"/>
      <c r="N401" s="402"/>
      <c r="O401" s="384"/>
      <c r="P401" s="215"/>
      <c r="Q401" s="215"/>
    </row>
    <row r="402" spans="1:17" ht="16.25" customHeight="1" x14ac:dyDescent="0.2">
      <c r="A402" s="897"/>
      <c r="B402" s="245" t="s">
        <v>260</v>
      </c>
      <c r="C402" s="307" t="s">
        <v>281</v>
      </c>
      <c r="D402" s="307"/>
      <c r="E402" s="381"/>
      <c r="F402" s="307" t="s">
        <v>277</v>
      </c>
      <c r="G402" s="306"/>
      <c r="H402" s="307" t="s">
        <v>278</v>
      </c>
      <c r="I402" s="307"/>
      <c r="J402" s="307" t="s">
        <v>267</v>
      </c>
      <c r="K402" s="265"/>
      <c r="L402" s="385"/>
      <c r="M402" s="307" t="s">
        <v>279</v>
      </c>
      <c r="N402" s="384"/>
      <c r="O402" s="384"/>
      <c r="P402" s="215"/>
      <c r="Q402" s="215"/>
    </row>
    <row r="403" spans="1:17" ht="13.25" customHeight="1" x14ac:dyDescent="0.2">
      <c r="A403" s="897"/>
      <c r="B403" s="245"/>
      <c r="C403" s="307"/>
      <c r="D403" s="307"/>
      <c r="E403" s="307"/>
      <c r="F403" s="307"/>
      <c r="G403" s="306"/>
      <c r="H403" s="307"/>
      <c r="I403" s="307"/>
      <c r="J403" s="307"/>
      <c r="K403" s="307"/>
      <c r="L403" s="307"/>
      <c r="M403" s="307"/>
      <c r="N403" s="384"/>
      <c r="O403" s="384"/>
      <c r="P403" s="215"/>
      <c r="Q403" s="215"/>
    </row>
    <row r="404" spans="1:17" ht="16.25" customHeight="1" x14ac:dyDescent="0.2">
      <c r="A404" s="897"/>
      <c r="B404" s="245" t="s">
        <v>261</v>
      </c>
      <c r="C404" s="307" t="s">
        <v>281</v>
      </c>
      <c r="D404" s="307"/>
      <c r="E404" s="381"/>
      <c r="F404" s="307" t="s">
        <v>277</v>
      </c>
      <c r="G404" s="306"/>
      <c r="H404" s="307" t="s">
        <v>278</v>
      </c>
      <c r="I404" s="307"/>
      <c r="J404" s="307" t="s">
        <v>267</v>
      </c>
      <c r="K404" s="307"/>
      <c r="L404" s="307"/>
      <c r="M404" s="307" t="s">
        <v>279</v>
      </c>
      <c r="N404" s="384"/>
      <c r="O404" s="384"/>
      <c r="P404" s="215"/>
      <c r="Q404" s="215"/>
    </row>
    <row r="405" spans="1:17" ht="16.25" customHeight="1" x14ac:dyDescent="0.2">
      <c r="A405" s="897"/>
      <c r="B405" s="245"/>
      <c r="C405" s="307"/>
      <c r="D405" s="307"/>
      <c r="E405" s="307"/>
      <c r="F405" s="307"/>
      <c r="G405" s="306"/>
      <c r="H405" s="307"/>
      <c r="I405" s="307"/>
      <c r="J405" s="307"/>
      <c r="K405" s="307"/>
      <c r="L405" s="307"/>
      <c r="M405" s="307"/>
      <c r="N405" s="384"/>
      <c r="O405" s="384"/>
      <c r="P405" s="215"/>
      <c r="Q405" s="215"/>
    </row>
    <row r="406" spans="1:17" ht="16.25" customHeight="1" x14ac:dyDescent="0.2">
      <c r="A406" s="897"/>
      <c r="B406" s="245" t="s">
        <v>262</v>
      </c>
      <c r="C406" s="307" t="s">
        <v>281</v>
      </c>
      <c r="D406" s="307"/>
      <c r="E406" s="381"/>
      <c r="F406" s="307" t="s">
        <v>277</v>
      </c>
      <c r="G406" s="306"/>
      <c r="H406" s="307" t="s">
        <v>278</v>
      </c>
      <c r="I406" s="307"/>
      <c r="J406" s="307" t="s">
        <v>267</v>
      </c>
      <c r="K406" s="307"/>
      <c r="L406" s="307"/>
      <c r="M406" s="307" t="s">
        <v>279</v>
      </c>
      <c r="N406" s="384"/>
      <c r="O406" s="384"/>
      <c r="P406" s="215"/>
      <c r="Q406" s="215"/>
    </row>
    <row r="407" spans="1:17" ht="16.25" customHeight="1" x14ac:dyDescent="0.2">
      <c r="A407" s="897"/>
      <c r="B407" s="245"/>
      <c r="C407" s="307"/>
      <c r="D407" s="307"/>
      <c r="E407" s="307"/>
      <c r="F407" s="307"/>
      <c r="G407" s="306"/>
      <c r="H407" s="307"/>
      <c r="I407" s="307"/>
      <c r="J407" s="307"/>
      <c r="K407" s="307"/>
      <c r="L407" s="307"/>
      <c r="M407" s="307"/>
      <c r="N407" s="384"/>
      <c r="O407" s="384"/>
      <c r="P407" s="215"/>
      <c r="Q407" s="215"/>
    </row>
    <row r="408" spans="1:17" ht="16.25" customHeight="1" x14ac:dyDescent="0.2">
      <c r="A408" s="897"/>
      <c r="B408" s="245" t="s">
        <v>263</v>
      </c>
      <c r="C408" s="307" t="s">
        <v>281</v>
      </c>
      <c r="D408" s="307"/>
      <c r="E408" s="381"/>
      <c r="F408" s="307" t="s">
        <v>277</v>
      </c>
      <c r="G408" s="306"/>
      <c r="H408" s="307" t="s">
        <v>278</v>
      </c>
      <c r="I408" s="307"/>
      <c r="J408" s="307" t="s">
        <v>267</v>
      </c>
      <c r="K408" s="307"/>
      <c r="L408" s="307"/>
      <c r="M408" s="307" t="s">
        <v>279</v>
      </c>
      <c r="N408" s="384"/>
      <c r="O408" s="384"/>
      <c r="P408" s="215"/>
      <c r="Q408" s="215"/>
    </row>
    <row r="409" spans="1:17" ht="16.25" customHeight="1" x14ac:dyDescent="0.2">
      <c r="A409" s="897"/>
      <c r="B409" s="245"/>
      <c r="C409" s="307"/>
      <c r="D409" s="307"/>
      <c r="E409" s="307"/>
      <c r="F409" s="307"/>
      <c r="G409" s="306"/>
      <c r="H409" s="307"/>
      <c r="I409" s="307"/>
      <c r="J409" s="307"/>
      <c r="K409" s="307"/>
      <c r="L409" s="307"/>
      <c r="M409" s="307"/>
      <c r="N409" s="384"/>
      <c r="O409" s="384"/>
      <c r="P409" s="215"/>
      <c r="Q409" s="215"/>
    </row>
    <row r="410" spans="1:17" ht="16.25" customHeight="1" x14ac:dyDescent="0.2">
      <c r="A410" s="459"/>
      <c r="B410" s="245" t="s">
        <v>264</v>
      </c>
      <c r="C410" s="307" t="s">
        <v>281</v>
      </c>
      <c r="D410" s="307"/>
      <c r="E410" s="381"/>
      <c r="F410" s="307" t="s">
        <v>277</v>
      </c>
      <c r="G410" s="306"/>
      <c r="H410" s="307" t="s">
        <v>278</v>
      </c>
      <c r="I410" s="307"/>
      <c r="J410" s="307" t="s">
        <v>267</v>
      </c>
      <c r="K410" s="307"/>
      <c r="L410" s="307"/>
      <c r="M410" s="307" t="s">
        <v>279</v>
      </c>
      <c r="N410" s="384"/>
      <c r="O410" s="384"/>
      <c r="P410" s="215"/>
      <c r="Q410" s="215"/>
    </row>
    <row r="411" spans="1:17" ht="18" customHeight="1" x14ac:dyDescent="0.2">
      <c r="A411" s="463"/>
      <c r="B411" s="252"/>
      <c r="C411" s="389"/>
      <c r="D411" s="389"/>
      <c r="E411" s="389"/>
      <c r="F411" s="389"/>
      <c r="G411" s="389"/>
      <c r="H411" s="390"/>
      <c r="I411" s="389"/>
      <c r="J411" s="389"/>
      <c r="K411" s="390"/>
      <c r="L411" s="389"/>
      <c r="M411" s="389"/>
      <c r="N411" s="389"/>
      <c r="O411" s="384"/>
      <c r="P411" s="215"/>
      <c r="Q411" s="215"/>
    </row>
    <row r="412" spans="1:17" ht="18" customHeight="1" x14ac:dyDescent="0.2">
      <c r="A412" s="884"/>
      <c r="B412" s="245" t="s">
        <v>260</v>
      </c>
      <c r="C412" s="307" t="str">
        <f>"☐ " &amp; RHIZO_Option1-1 &amp; "x__2TraysSTD 15x20, 20x25 cm"</f>
        <v>☐ 0x__2TraysSTD 15x20, 20x25 cm</v>
      </c>
      <c r="D412" s="307"/>
      <c r="E412" s="307"/>
      <c r="F412" s="307"/>
      <c r="G412" s="306"/>
      <c r="H412" s="307" t="str">
        <f>"☐ " &amp; RHIZO_Option6-1 &amp; "x__2TraysLA 25x35, 30x40 cm"</f>
        <v>☐ 0x__2TraysLA 25x35, 30x40 cm</v>
      </c>
      <c r="I412" s="307"/>
      <c r="J412" s="307"/>
      <c r="K412" s="307" t="str">
        <f>"☐ " &amp; RHIZO_Option7-1 &amp; "x__3TraysLA 20x30, 25x35, 30x40 cm"</f>
        <v>☐ 0x__3TraysLA 20x30, 25x35, 30x40 cm</v>
      </c>
      <c r="L412" s="307"/>
      <c r="M412" s="307"/>
      <c r="N412" s="384"/>
      <c r="O412" s="384"/>
      <c r="P412" s="215"/>
      <c r="Q412" s="215"/>
    </row>
    <row r="413" spans="1:17" ht="18" customHeight="1" x14ac:dyDescent="0.2">
      <c r="A413" s="884"/>
      <c r="B413" s="245"/>
      <c r="C413" s="307" t="str">
        <f>"☐ " &amp; RHIZO_Option2-1 &amp; "x__3TraysSTD 10x15, 15x20, 20x25 cm"</f>
        <v>☐ 0x__3TraysSTD 10x15, 15x20, 20x25 cm</v>
      </c>
      <c r="D413" s="307"/>
      <c r="E413" s="307"/>
      <c r="F413" s="307"/>
      <c r="G413" s="306"/>
      <c r="H413" s="307" t="str">
        <f>"☐ " &amp; RHIZO_Option8-1 &amp; "x__5TraysLA 10x15, 15x20, 20x30, 25x35, 30x40 cm"</f>
        <v>☐ 0x__5TraysLA 10x15, 15x20, 20x30, 25x35, 30x40 cm</v>
      </c>
      <c r="I413" s="307"/>
      <c r="J413" s="307"/>
      <c r="K413" s="307"/>
      <c r="L413" s="307"/>
      <c r="M413" s="307"/>
      <c r="N413" s="384"/>
      <c r="O413" s="384"/>
      <c r="P413" s="215"/>
      <c r="Q413" s="215"/>
    </row>
    <row r="414" spans="1:17" ht="18" customHeight="1" x14ac:dyDescent="0.2">
      <c r="A414" s="884"/>
      <c r="B414" s="245"/>
      <c r="C414" s="779" t="str">
        <f>"☐ " &amp; RHIZO_Option3-1 &amp; "x__10x15"</f>
        <v>☐ 0x__10x15</v>
      </c>
      <c r="D414" s="779" t="str">
        <f>"☐ " &amp; RHIZO_Option4-1 &amp; "x__15x20"</f>
        <v>☐ 0x__15x20</v>
      </c>
      <c r="E414" s="779" t="str">
        <f>"☐ " &amp; RHIZO_Option5-1 &amp; "x__20x25"</f>
        <v>☐ 0x__20x25</v>
      </c>
      <c r="F414" s="307"/>
      <c r="G414" s="306"/>
      <c r="H414" s="779" t="str">
        <f>"☐ " &amp; RHIZO_Option9-1 &amp; "x__20x30"</f>
        <v>☐ 0x__20x30</v>
      </c>
      <c r="I414" s="385"/>
      <c r="J414" s="779" t="str">
        <f>"☐ " &amp; RHIZO_Option10-1 &amp; "x__25x35"</f>
        <v>☐ 0x__25x35</v>
      </c>
      <c r="K414" s="386"/>
      <c r="L414" s="779" t="str">
        <f>"☐ " &amp; RHIZO_Option11-1 &amp; "x__30x40"</f>
        <v>☐ 0x__30x40</v>
      </c>
      <c r="M414" s="307"/>
      <c r="N414" s="384"/>
      <c r="O414" s="384"/>
      <c r="P414" s="215"/>
      <c r="Q414" s="215"/>
    </row>
    <row r="415" spans="1:17" ht="18" customHeight="1" x14ac:dyDescent="0.2">
      <c r="A415" s="465"/>
      <c r="B415" s="253"/>
      <c r="C415" s="391"/>
      <c r="D415" s="391"/>
      <c r="E415" s="391"/>
      <c r="F415" s="391"/>
      <c r="G415" s="391"/>
      <c r="H415" s="392"/>
      <c r="I415" s="391"/>
      <c r="J415" s="391"/>
      <c r="K415" s="392"/>
      <c r="L415" s="391"/>
      <c r="M415" s="391"/>
      <c r="N415" s="391"/>
      <c r="O415" s="384"/>
      <c r="P415" s="215"/>
      <c r="Q415" s="215"/>
    </row>
    <row r="416" spans="1:17" ht="18" customHeight="1" x14ac:dyDescent="0.2">
      <c r="A416" s="464"/>
      <c r="B416" s="245" t="s">
        <v>260</v>
      </c>
      <c r="C416" s="307" t="s">
        <v>265</v>
      </c>
      <c r="D416" s="307" t="s">
        <v>300</v>
      </c>
      <c r="E416" s="307" t="s">
        <v>301</v>
      </c>
      <c r="F416" s="307" t="s">
        <v>312</v>
      </c>
      <c r="G416" s="307" t="s">
        <v>266</v>
      </c>
      <c r="H416" s="386"/>
      <c r="I416" s="307" t="s">
        <v>300</v>
      </c>
      <c r="J416" s="307" t="s">
        <v>301</v>
      </c>
      <c r="K416" s="307" t="s">
        <v>312</v>
      </c>
      <c r="L416" s="385"/>
      <c r="M416" s="307" t="str">
        <f>"☐ Fond Bleu " &amp; IF(FOLIA_IndexScanner=1,"STD",IF(FOLIA_IndexScanner=2,"LA","LC"))</f>
        <v>☐ Fond Bleu STD</v>
      </c>
      <c r="N416" s="384"/>
      <c r="O416" s="384"/>
      <c r="P416" s="215"/>
      <c r="Q416" s="215"/>
    </row>
    <row r="417" spans="1:17" ht="18" customHeight="1" x14ac:dyDescent="0.2">
      <c r="A417" s="464"/>
      <c r="B417" s="245" t="s">
        <v>261</v>
      </c>
      <c r="C417" s="307" t="s">
        <v>265</v>
      </c>
      <c r="D417" s="307" t="s">
        <v>300</v>
      </c>
      <c r="E417" s="307" t="s">
        <v>301</v>
      </c>
      <c r="F417" s="307" t="s">
        <v>312</v>
      </c>
      <c r="G417" s="307" t="s">
        <v>266</v>
      </c>
      <c r="H417" s="386"/>
      <c r="I417" s="307" t="s">
        <v>300</v>
      </c>
      <c r="J417" s="307" t="s">
        <v>301</v>
      </c>
      <c r="K417" s="307" t="s">
        <v>312</v>
      </c>
      <c r="L417" s="385"/>
      <c r="M417" s="307" t="str">
        <f>"☐ Fond Bleu " &amp; IF(FOLIA_IndexScanner=1,"STD",IF(FOLIA_IndexScanner=2,"LA","LC"))</f>
        <v>☐ Fond Bleu STD</v>
      </c>
      <c r="N417" s="307"/>
      <c r="O417" s="384"/>
      <c r="P417" s="215"/>
      <c r="Q417" s="215"/>
    </row>
    <row r="418" spans="1:17" ht="18" customHeight="1" x14ac:dyDescent="0.2">
      <c r="A418" s="464"/>
      <c r="B418" s="245" t="s">
        <v>262</v>
      </c>
      <c r="C418" s="307" t="s">
        <v>265</v>
      </c>
      <c r="D418" s="307" t="s">
        <v>300</v>
      </c>
      <c r="E418" s="307" t="s">
        <v>301</v>
      </c>
      <c r="F418" s="307" t="s">
        <v>312</v>
      </c>
      <c r="G418" s="307" t="s">
        <v>266</v>
      </c>
      <c r="H418" s="386"/>
      <c r="I418" s="307" t="s">
        <v>300</v>
      </c>
      <c r="J418" s="307" t="s">
        <v>301</v>
      </c>
      <c r="K418" s="307" t="s">
        <v>312</v>
      </c>
      <c r="L418" s="385"/>
      <c r="M418" s="307" t="str">
        <f>"☐ Fond Bleu " &amp; IF(FOLIA_IndexScanner=1,"STD",IF(FOLIA_IndexScanner=2,"LA","LC"))</f>
        <v>☐ Fond Bleu STD</v>
      </c>
      <c r="N418" s="307"/>
      <c r="O418" s="384"/>
      <c r="P418" s="215"/>
      <c r="Q418" s="215"/>
    </row>
    <row r="419" spans="1:17" ht="18" customHeight="1" x14ac:dyDescent="0.2">
      <c r="A419" s="464"/>
      <c r="B419" s="245" t="s">
        <v>263</v>
      </c>
      <c r="C419" s="307" t="s">
        <v>265</v>
      </c>
      <c r="D419" s="307" t="s">
        <v>300</v>
      </c>
      <c r="E419" s="307" t="s">
        <v>301</v>
      </c>
      <c r="F419" s="307" t="s">
        <v>312</v>
      </c>
      <c r="G419" s="307" t="s">
        <v>266</v>
      </c>
      <c r="H419" s="386"/>
      <c r="I419" s="307" t="s">
        <v>300</v>
      </c>
      <c r="J419" s="307" t="s">
        <v>301</v>
      </c>
      <c r="K419" s="307" t="s">
        <v>312</v>
      </c>
      <c r="L419" s="385"/>
      <c r="M419" s="307" t="str">
        <f>"☐ Fond Bleu " &amp; IF(FOLIA_IndexScanner=1,"STD",IF(FOLIA_IndexScanner=2,"LA","LC"))</f>
        <v>☐ Fond Bleu STD</v>
      </c>
      <c r="N419" s="307"/>
      <c r="O419" s="384"/>
      <c r="P419" s="215"/>
      <c r="Q419" s="215"/>
    </row>
    <row r="420" spans="1:17" ht="18" customHeight="1" x14ac:dyDescent="0.2">
      <c r="A420" s="464"/>
      <c r="B420" s="245" t="s">
        <v>264</v>
      </c>
      <c r="C420" s="307" t="s">
        <v>265</v>
      </c>
      <c r="D420" s="307" t="s">
        <v>300</v>
      </c>
      <c r="E420" s="307" t="s">
        <v>301</v>
      </c>
      <c r="F420" s="307" t="s">
        <v>312</v>
      </c>
      <c r="G420" s="307" t="s">
        <v>266</v>
      </c>
      <c r="H420" s="386"/>
      <c r="I420" s="307" t="s">
        <v>300</v>
      </c>
      <c r="J420" s="307" t="s">
        <v>301</v>
      </c>
      <c r="K420" s="307" t="s">
        <v>312</v>
      </c>
      <c r="L420" s="385"/>
      <c r="M420" s="307" t="str">
        <f>"☐ Fond Bleu " &amp; IF(FOLIA_IndexScanner=1,"STD",IF(FOLIA_IndexScanner=2,"LA","LC"))</f>
        <v>☐ Fond Bleu STD</v>
      </c>
      <c r="N420" s="307"/>
      <c r="O420" s="384"/>
      <c r="P420" s="215"/>
      <c r="Q420" s="215"/>
    </row>
    <row r="421" spans="1:17" ht="18" customHeight="1" x14ac:dyDescent="0.2">
      <c r="A421" s="424"/>
      <c r="B421" s="248"/>
      <c r="C421" s="393"/>
      <c r="D421" s="393"/>
      <c r="E421" s="393"/>
      <c r="F421" s="393"/>
      <c r="G421" s="393"/>
      <c r="H421" s="394"/>
      <c r="I421" s="394"/>
      <c r="J421" s="394"/>
      <c r="K421" s="393"/>
      <c r="L421" s="394"/>
      <c r="M421" s="393"/>
      <c r="N421" s="393"/>
      <c r="O421" s="384"/>
      <c r="P421" s="215"/>
      <c r="Q421" s="215"/>
    </row>
    <row r="422" spans="1:17" ht="18" customHeight="1" x14ac:dyDescent="0.2">
      <c r="A422" s="885"/>
      <c r="B422" s="245" t="s">
        <v>260</v>
      </c>
      <c r="C422" s="307" t="str">
        <f>"☐ " &amp; SEEDLE_Option1-1 &amp; "x__2TraysSTD 15x20, 20x25 cm"</f>
        <v>☐ 0x__2TraysSTD 15x20, 20x25 cm</v>
      </c>
      <c r="D422" s="307"/>
      <c r="E422" s="307"/>
      <c r="F422" s="307"/>
      <c r="G422" s="306"/>
      <c r="H422" s="307" t="str">
        <f>"☐ " &amp; SEEDLE_Option6-1 &amp; "x__2TraysLA 25x35, 30x40 cm"</f>
        <v>☐ 0x__2TraysLA 25x35, 30x40 cm</v>
      </c>
      <c r="I422" s="307"/>
      <c r="J422" s="307"/>
      <c r="K422" s="307" t="str">
        <f>"☐ " &amp; SEEDLE_Option7-1 &amp; "x__3TraysLA 20x30, 25x35, 30x40 cm"</f>
        <v>☐ 0x__3TraysLA 20x30, 25x35, 30x40 cm</v>
      </c>
      <c r="L422" s="307"/>
      <c r="M422" s="307"/>
      <c r="N422" s="384"/>
      <c r="O422" s="384"/>
      <c r="P422" s="215"/>
      <c r="Q422" s="215"/>
    </row>
    <row r="423" spans="1:17" ht="18" customHeight="1" x14ac:dyDescent="0.2">
      <c r="A423" s="885"/>
      <c r="B423" s="245"/>
      <c r="C423" s="307" t="str">
        <f>"☐ " &amp; SEEDLE_Option2-1 &amp; "x__3TraysSTD 10x15, 15x20, 20x25 cm"</f>
        <v>☐ 0x__3TraysSTD 10x15, 15x20, 20x25 cm</v>
      </c>
      <c r="D423" s="307"/>
      <c r="E423" s="307"/>
      <c r="F423" s="307"/>
      <c r="G423" s="306"/>
      <c r="H423" s="307" t="str">
        <f>"☐ " &amp; SEEDLE_Option8-1 &amp; "x__5TraysLA 10x15, 15x20, 20x30, 25x35, 30x40 cm"</f>
        <v>☐ 0x__5TraysLA 10x15, 15x20, 20x30, 25x35, 30x40 cm</v>
      </c>
      <c r="I423" s="307"/>
      <c r="J423" s="307"/>
      <c r="K423" s="307"/>
      <c r="L423" s="307"/>
      <c r="M423" s="307"/>
      <c r="N423" s="384"/>
      <c r="O423" s="384"/>
      <c r="P423" s="215"/>
      <c r="Q423" s="215"/>
    </row>
    <row r="424" spans="1:17" ht="18" customHeight="1" x14ac:dyDescent="0.2">
      <c r="A424" s="885"/>
      <c r="B424" s="245"/>
      <c r="C424" s="779" t="str">
        <f>"☐ " &amp; SEEDLE_Option3-1 &amp; "x__10x15"</f>
        <v>☐ 0x__10x15</v>
      </c>
      <c r="D424" s="779" t="str">
        <f>"☐ " &amp; SEEDLE_Option4-1 &amp; "x__15x20"</f>
        <v>☐ 0x__15x20</v>
      </c>
      <c r="E424" s="779" t="str">
        <f>"☐ " &amp; SEEDLE_Option5-1 &amp; "x__20x25"</f>
        <v>☐ 0x__20x25</v>
      </c>
      <c r="F424" s="307"/>
      <c r="G424" s="306"/>
      <c r="H424" s="779" t="str">
        <f>"☐ " &amp; SEEDLE_Option9-1 &amp; "x__20x30"</f>
        <v>☐ 0x__20x30</v>
      </c>
      <c r="I424" s="385"/>
      <c r="J424" s="779" t="str">
        <f>"☐ " &amp; SEEDLE_Option10-1 &amp; "x__25x35"</f>
        <v>☐ 0x__25x35</v>
      </c>
      <c r="K424" s="386"/>
      <c r="L424" s="779" t="str">
        <f>"☐ " &amp; SEEDLE_Option11-1 &amp; "x__30x40"</f>
        <v>☐ 0x__30x40</v>
      </c>
      <c r="M424" s="307"/>
      <c r="N424" s="384"/>
      <c r="O424" s="384"/>
      <c r="P424" s="215"/>
      <c r="Q424" s="215"/>
    </row>
    <row r="425" spans="1:17" ht="18" customHeight="1" x14ac:dyDescent="0.2">
      <c r="A425" s="426"/>
      <c r="B425" s="249"/>
      <c r="C425" s="395"/>
      <c r="D425" s="395"/>
      <c r="E425" s="395"/>
      <c r="F425" s="395"/>
      <c r="G425" s="395"/>
      <c r="H425" s="396"/>
      <c r="I425" s="395"/>
      <c r="J425" s="395"/>
      <c r="K425" s="396"/>
      <c r="L425" s="395"/>
      <c r="M425" s="395"/>
      <c r="N425" s="395"/>
      <c r="O425" s="384"/>
      <c r="P425" s="215"/>
      <c r="Q425" s="215"/>
    </row>
    <row r="426" spans="1:17" ht="18" customHeight="1" x14ac:dyDescent="0.2">
      <c r="A426" s="460"/>
      <c r="B426" s="245" t="s">
        <v>260</v>
      </c>
      <c r="C426" s="307" t="s">
        <v>265</v>
      </c>
      <c r="D426" s="307" t="s">
        <v>300</v>
      </c>
      <c r="E426" s="307" t="s">
        <v>301</v>
      </c>
      <c r="F426" s="307" t="s">
        <v>312</v>
      </c>
      <c r="G426" s="307" t="s">
        <v>266</v>
      </c>
      <c r="H426" s="386"/>
      <c r="I426" s="307" t="s">
        <v>300</v>
      </c>
      <c r="J426" s="307" t="s">
        <v>301</v>
      </c>
      <c r="K426" s="307" t="s">
        <v>312</v>
      </c>
      <c r="L426" s="385"/>
      <c r="M426" s="307" t="str">
        <f>"☐ Fond Bleu " &amp; IF(CAM_IndexScanner=1,"STD",IF(CAM_IndexScanner=2,"LA","LC"))</f>
        <v>☐ Fond Bleu STD</v>
      </c>
      <c r="N426" s="307"/>
      <c r="O426" s="384"/>
      <c r="P426" s="215"/>
      <c r="Q426" s="215"/>
    </row>
    <row r="427" spans="1:17" ht="18" customHeight="1" x14ac:dyDescent="0.2">
      <c r="A427" s="460"/>
      <c r="B427" s="245" t="s">
        <v>261</v>
      </c>
      <c r="C427" s="307" t="s">
        <v>265</v>
      </c>
      <c r="D427" s="307" t="s">
        <v>300</v>
      </c>
      <c r="E427" s="307" t="s">
        <v>301</v>
      </c>
      <c r="F427" s="307" t="s">
        <v>312</v>
      </c>
      <c r="G427" s="307" t="s">
        <v>266</v>
      </c>
      <c r="H427" s="386"/>
      <c r="I427" s="307" t="s">
        <v>300</v>
      </c>
      <c r="J427" s="307" t="s">
        <v>301</v>
      </c>
      <c r="K427" s="307" t="s">
        <v>312</v>
      </c>
      <c r="L427" s="385"/>
      <c r="M427" s="307" t="str">
        <f>"☐ Fond Bleu " &amp; IF(CAM_IndexScanner=1,"STD",IF(CAM_IndexScanner=2,"LA","LC"))</f>
        <v>☐ Fond Bleu STD</v>
      </c>
      <c r="N427" s="307"/>
      <c r="O427" s="384"/>
      <c r="P427" s="215"/>
      <c r="Q427" s="215"/>
    </row>
    <row r="428" spans="1:17" ht="18" customHeight="1" x14ac:dyDescent="0.2">
      <c r="A428" s="460"/>
      <c r="B428" s="245" t="s">
        <v>262</v>
      </c>
      <c r="C428" s="307" t="s">
        <v>265</v>
      </c>
      <c r="D428" s="307" t="s">
        <v>300</v>
      </c>
      <c r="E428" s="307" t="s">
        <v>301</v>
      </c>
      <c r="F428" s="307" t="s">
        <v>312</v>
      </c>
      <c r="G428" s="307" t="s">
        <v>266</v>
      </c>
      <c r="H428" s="386"/>
      <c r="I428" s="307" t="s">
        <v>300</v>
      </c>
      <c r="J428" s="307" t="s">
        <v>301</v>
      </c>
      <c r="K428" s="307" t="s">
        <v>312</v>
      </c>
      <c r="L428" s="385"/>
      <c r="M428" s="307" t="str">
        <f>"☐ Fond Bleu " &amp; IF(CAM_IndexScanner=1,"STD",IF(CAM_IndexScanner=2,"LA","LC"))</f>
        <v>☐ Fond Bleu STD</v>
      </c>
      <c r="N428" s="307"/>
      <c r="O428" s="384"/>
      <c r="P428" s="215"/>
      <c r="Q428" s="215"/>
    </row>
    <row r="429" spans="1:17" ht="18" customHeight="1" x14ac:dyDescent="0.2">
      <c r="A429" s="460"/>
      <c r="B429" s="245" t="s">
        <v>263</v>
      </c>
      <c r="C429" s="307" t="s">
        <v>265</v>
      </c>
      <c r="D429" s="307" t="s">
        <v>300</v>
      </c>
      <c r="E429" s="307" t="s">
        <v>301</v>
      </c>
      <c r="F429" s="307" t="s">
        <v>312</v>
      </c>
      <c r="G429" s="307" t="s">
        <v>266</v>
      </c>
      <c r="H429" s="386"/>
      <c r="I429" s="307" t="s">
        <v>300</v>
      </c>
      <c r="J429" s="307" t="s">
        <v>301</v>
      </c>
      <c r="K429" s="307" t="s">
        <v>312</v>
      </c>
      <c r="L429" s="385"/>
      <c r="M429" s="307" t="str">
        <f>"☐ Fond Bleu " &amp; IF(CAM_IndexScanner=1,"STD",IF(CAM_IndexScanner=2,"LA","LC"))</f>
        <v>☐ Fond Bleu STD</v>
      </c>
      <c r="N429" s="307"/>
      <c r="O429" s="384"/>
      <c r="P429" s="215"/>
      <c r="Q429" s="215"/>
    </row>
    <row r="430" spans="1:17" ht="18" customHeight="1" x14ac:dyDescent="0.2">
      <c r="A430" s="460"/>
      <c r="B430" s="245" t="s">
        <v>264</v>
      </c>
      <c r="C430" s="307" t="s">
        <v>265</v>
      </c>
      <c r="D430" s="307" t="s">
        <v>300</v>
      </c>
      <c r="E430" s="307" t="s">
        <v>301</v>
      </c>
      <c r="F430" s="307" t="s">
        <v>312</v>
      </c>
      <c r="G430" s="307" t="s">
        <v>266</v>
      </c>
      <c r="H430" s="386"/>
      <c r="I430" s="307" t="s">
        <v>300</v>
      </c>
      <c r="J430" s="307" t="s">
        <v>301</v>
      </c>
      <c r="K430" s="307" t="s">
        <v>312</v>
      </c>
      <c r="L430" s="385"/>
      <c r="M430" s="307" t="str">
        <f>"☐ Fond Bleu " &amp; IF(CAM_IndexScanner=1,"STD",IF(CAM_IndexScanner=2,"LA","LC"))</f>
        <v>☐ Fond Bleu STD</v>
      </c>
      <c r="N430" s="307"/>
      <c r="O430" s="384"/>
      <c r="P430" s="215"/>
      <c r="Q430" s="215"/>
    </row>
    <row r="431" spans="1:17" ht="18" customHeight="1" thickBot="1" x14ac:dyDescent="0.25">
      <c r="A431" s="216"/>
      <c r="B431" s="223"/>
      <c r="C431" s="225"/>
      <c r="D431" s="223"/>
      <c r="E431" s="223"/>
      <c r="F431" s="223"/>
      <c r="G431" s="223"/>
      <c r="H431" s="223"/>
      <c r="I431" s="223"/>
      <c r="J431" s="223"/>
      <c r="K431" s="223"/>
      <c r="L431" s="223"/>
      <c r="M431" s="223"/>
      <c r="N431" s="215"/>
      <c r="O431" s="215"/>
      <c r="P431" s="215"/>
      <c r="Q431" s="215"/>
    </row>
    <row r="432" spans="1:17" ht="4.5" customHeight="1" thickTop="1" x14ac:dyDescent="0.25">
      <c r="A432" s="216"/>
      <c r="B432" s="343"/>
      <c r="C432" s="285"/>
      <c r="D432" s="343"/>
      <c r="E432" s="285"/>
      <c r="F432" s="343"/>
      <c r="G432" s="284"/>
      <c r="H432" s="286"/>
      <c r="I432" s="285"/>
      <c r="J432" s="285"/>
      <c r="K432" s="286"/>
      <c r="L432" s="285"/>
      <c r="M432" s="285"/>
      <c r="N432" s="215"/>
      <c r="O432" s="215"/>
      <c r="P432" s="215"/>
      <c r="Q432" s="215"/>
    </row>
    <row r="433" spans="1:17" ht="18" customHeight="1" x14ac:dyDescent="0.25">
      <c r="A433" s="216"/>
      <c r="B433" s="215"/>
      <c r="C433" s="215"/>
      <c r="D433" s="215"/>
      <c r="E433" s="384"/>
      <c r="F433" s="384"/>
      <c r="G433" s="384"/>
      <c r="H433" s="751" t="str">
        <f>IF(AND(QUOTE_Split_SoftwareHardware,QUOTE_InternetDownload),"INTERNET DOWNLOAD","")</f>
        <v/>
      </c>
      <c r="I433" s="265"/>
      <c r="J433" s="384"/>
      <c r="K433" s="403"/>
      <c r="L433" s="265"/>
      <c r="M433" s="384"/>
      <c r="N433" s="384"/>
      <c r="O433" s="215"/>
      <c r="P433" s="215"/>
      <c r="Q433" s="215"/>
    </row>
    <row r="434" spans="1:17" ht="24" customHeight="1" x14ac:dyDescent="0.2">
      <c r="A434" s="216"/>
      <c r="B434" s="215"/>
      <c r="C434" s="245" t="s">
        <v>149</v>
      </c>
      <c r="D434" s="307" t="str">
        <f>IF(SCANOPY_N_System&gt;1,"☐ Sticker “UN3481” sur boîte","")</f>
        <v/>
      </c>
      <c r="E434" s="265"/>
      <c r="F434" s="307" t="s">
        <v>302</v>
      </c>
      <c r="G434" s="265"/>
      <c r="H434" s="307"/>
      <c r="I434" s="265" t="str">
        <f>IF(AND(DENDRO_N_System-1 &gt; 0, NOT(DENDRO_ClientWithOrWithoutScanner_ChkBox)),"☐ " &amp; IF(DENDRO_IndexScanner=1,"Label ""STD4800 Scanner""","Label ""LA2400 Scanner"""),"") &amp;
IF(AND(FOLIA_N_System-1 &gt; 0, NOT(FOLIA_ClientWithOrWithoutScanner_ChkBox))," ☐ " &amp; IF(FOLIA_IndexScanner=1,"Label ""STD4800 Scanner""","Label ""LA2400 Scanner"""),"") &amp;
IF(AND(CAM_N_System-1 &gt; 0, NOT(CAM_ClientWithOrWithoutScanner_ChkBox))," ☐ " &amp; IF(CAM_IndexScanner=1,"Label ""STD4800 Scanner""","Label ""LA2400 Scanner"""),"")</f>
        <v/>
      </c>
      <c r="J434" s="265"/>
      <c r="K434" s="384"/>
      <c r="L434" s="384"/>
      <c r="M434" s="265"/>
      <c r="N434" s="265"/>
      <c r="O434" s="215"/>
      <c r="P434" s="215"/>
      <c r="Q434" s="215"/>
    </row>
    <row r="435" spans="1:17" ht="24" customHeight="1" x14ac:dyDescent="0.2">
      <c r="A435" s="216"/>
      <c r="B435" s="215"/>
      <c r="C435" s="216"/>
      <c r="D435" s="244" t="s">
        <v>150</v>
      </c>
      <c r="E435" s="307" t="s">
        <v>303</v>
      </c>
      <c r="F435" s="265"/>
      <c r="G435" s="307"/>
      <c r="H435" s="265"/>
      <c r="I435" s="265"/>
      <c r="J435" s="384"/>
      <c r="K435" s="384"/>
      <c r="L435" s="265"/>
      <c r="M435" s="265"/>
      <c r="N435" s="215"/>
      <c r="O435" s="215"/>
      <c r="P435" s="215"/>
      <c r="Q435" s="215"/>
    </row>
    <row r="436" spans="1:17" ht="16.25" customHeight="1" x14ac:dyDescent="0.2">
      <c r="A436" s="216"/>
      <c r="B436" s="215"/>
      <c r="C436" s="216"/>
      <c r="D436" s="230" t="s">
        <v>142</v>
      </c>
      <c r="E436" s="890"/>
      <c r="F436" s="891"/>
      <c r="G436" s="891"/>
      <c r="H436" s="891"/>
      <c r="I436" s="892"/>
      <c r="J436" s="216"/>
      <c r="K436" s="37"/>
      <c r="L436" s="216"/>
      <c r="M436" s="216"/>
      <c r="N436" s="215"/>
      <c r="O436" s="215"/>
      <c r="P436" s="215"/>
      <c r="Q436" s="215"/>
    </row>
    <row r="437" spans="1:17" ht="16.25" customHeight="1" x14ac:dyDescent="0.2">
      <c r="A437" s="216"/>
      <c r="B437" s="215"/>
      <c r="C437" s="215"/>
      <c r="D437" s="215"/>
      <c r="E437" s="216"/>
      <c r="F437" s="216"/>
      <c r="G437" s="216"/>
      <c r="H437" s="37"/>
      <c r="I437" s="215"/>
      <c r="J437" s="215"/>
      <c r="K437" s="37"/>
      <c r="L437" s="216"/>
      <c r="M437" s="216"/>
      <c r="N437" s="215"/>
      <c r="O437" s="215"/>
      <c r="P437" s="215"/>
      <c r="Q437" s="215"/>
    </row>
    <row r="438" spans="1:17" ht="16.25" customHeight="1" x14ac:dyDescent="0.2">
      <c r="A438" s="216"/>
      <c r="B438" s="215"/>
      <c r="C438" s="216"/>
      <c r="D438" s="216"/>
      <c r="E438" s="216"/>
      <c r="F438" s="216"/>
      <c r="G438" s="216"/>
      <c r="H438" s="37"/>
      <c r="I438" s="216"/>
      <c r="J438" s="216"/>
      <c r="K438" s="37"/>
      <c r="L438" s="216"/>
      <c r="M438" s="216"/>
      <c r="N438" s="215"/>
      <c r="O438" s="215"/>
      <c r="P438" s="215"/>
      <c r="Q438" s="215"/>
    </row>
    <row r="439" spans="1:17" ht="16.25" customHeight="1" x14ac:dyDescent="0.2">
      <c r="A439" s="216"/>
      <c r="B439" s="215"/>
      <c r="C439" s="216"/>
      <c r="D439" s="216"/>
      <c r="E439" s="216"/>
      <c r="F439" s="216"/>
      <c r="G439" s="216"/>
      <c r="H439" s="37"/>
      <c r="I439" s="216"/>
      <c r="J439" s="216"/>
      <c r="K439" s="37"/>
      <c r="L439" s="216"/>
      <c r="M439" s="216"/>
      <c r="N439" s="215"/>
      <c r="O439" s="215"/>
      <c r="P439" s="215"/>
      <c r="Q439" s="215"/>
    </row>
    <row r="440" spans="1:17" ht="16.25" customHeight="1" x14ac:dyDescent="0.2">
      <c r="A440" s="216"/>
      <c r="B440" s="223"/>
      <c r="C440" s="216"/>
      <c r="D440" s="216"/>
      <c r="E440" s="216"/>
      <c r="F440" s="216"/>
      <c r="G440" s="216"/>
      <c r="H440" s="37"/>
      <c r="I440" s="229"/>
      <c r="J440" s="229"/>
      <c r="K440" s="37"/>
      <c r="L440" s="229"/>
      <c r="M440" s="229"/>
      <c r="N440" s="215"/>
      <c r="O440" s="215"/>
      <c r="P440" s="215"/>
      <c r="Q440" s="215"/>
    </row>
    <row r="441" spans="1:17" ht="16.25" customHeight="1" x14ac:dyDescent="0.2">
      <c r="A441" s="216"/>
      <c r="B441" s="215"/>
      <c r="C441" s="216"/>
      <c r="D441" s="216"/>
      <c r="E441" s="216"/>
      <c r="F441" s="216"/>
      <c r="G441" s="216"/>
      <c r="H441" s="37"/>
      <c r="I441" s="216"/>
      <c r="J441" s="216"/>
      <c r="K441" s="37"/>
      <c r="L441" s="216"/>
      <c r="M441" s="216"/>
      <c r="N441" s="215"/>
      <c r="O441" s="215"/>
      <c r="P441" s="215"/>
      <c r="Q441" s="215"/>
    </row>
    <row r="442" spans="1:17" ht="16.25" customHeight="1" x14ac:dyDescent="0.2">
      <c r="A442" s="216"/>
      <c r="B442" s="215"/>
      <c r="C442" s="216"/>
      <c r="D442" s="216"/>
      <c r="E442" s="216"/>
      <c r="F442" s="216"/>
      <c r="G442" s="216"/>
      <c r="H442" s="37"/>
      <c r="I442" s="216"/>
      <c r="J442" s="216"/>
      <c r="K442" s="37"/>
      <c r="L442" s="216"/>
      <c r="M442" s="216"/>
      <c r="N442" s="215"/>
      <c r="O442" s="215"/>
      <c r="P442" s="215"/>
      <c r="Q442" s="215"/>
    </row>
    <row r="443" spans="1:17" ht="16.25" customHeight="1" x14ac:dyDescent="0.2">
      <c r="A443" s="216"/>
      <c r="B443" s="215"/>
      <c r="C443" s="216"/>
      <c r="D443" s="216"/>
      <c r="E443" s="216"/>
      <c r="F443" s="216"/>
      <c r="G443" s="216"/>
      <c r="H443" s="37"/>
      <c r="I443" s="216"/>
      <c r="J443" s="216"/>
      <c r="K443" s="37"/>
      <c r="L443" s="216"/>
      <c r="M443" s="216"/>
      <c r="N443" s="215"/>
      <c r="O443" s="215"/>
      <c r="P443" s="215"/>
      <c r="Q443" s="215"/>
    </row>
    <row r="444" spans="1:17" ht="16.25" customHeight="1" x14ac:dyDescent="0.2">
      <c r="A444" s="216"/>
      <c r="B444" s="215"/>
      <c r="C444" s="216"/>
      <c r="D444" s="216"/>
      <c r="E444" s="216"/>
      <c r="F444" s="216"/>
      <c r="G444" s="216"/>
      <c r="H444" s="37"/>
      <c r="I444" s="216"/>
      <c r="J444" s="216"/>
      <c r="K444" s="37"/>
      <c r="L444" s="216"/>
      <c r="M444" s="216"/>
      <c r="N444" s="215"/>
      <c r="O444" s="215"/>
      <c r="P444" s="215"/>
      <c r="Q444" s="215"/>
    </row>
  </sheetData>
  <sheetProtection algorithmName="SHA-512" hashValue="UKgjX+z7BP982cI5dwr96vJfA2ounAipRKkHImcYhwTBAbBO3wMM4QYj3OyfwvqPNZB2iH9sSxlkZgOolwCpSQ==" saltValue="ELj/z20A5M5jRfCv6WIeDQ==" spinCount="100000" sheet="1" objects="1" scenarios="1" selectLockedCells="1"/>
  <dataConsolidate link="1"/>
  <mergeCells count="134">
    <mergeCell ref="A347:A349"/>
    <mergeCell ref="A351:A352"/>
    <mergeCell ref="A354:A356"/>
    <mergeCell ref="A326:A328"/>
    <mergeCell ref="A397:A399"/>
    <mergeCell ref="A404:A405"/>
    <mergeCell ref="A406:A407"/>
    <mergeCell ref="A408:A409"/>
    <mergeCell ref="A361:A363"/>
    <mergeCell ref="A365:A367"/>
    <mergeCell ref="A369:A371"/>
    <mergeCell ref="A373:A375"/>
    <mergeCell ref="A377:A379"/>
    <mergeCell ref="A381:A383"/>
    <mergeCell ref="A385:A387"/>
    <mergeCell ref="A389:A391"/>
    <mergeCell ref="A393:A395"/>
    <mergeCell ref="A402:A403"/>
    <mergeCell ref="A340:A342"/>
    <mergeCell ref="A344:A345"/>
    <mergeCell ref="J3:K3"/>
    <mergeCell ref="M3:N3"/>
    <mergeCell ref="A255:A257"/>
    <mergeCell ref="A259:A261"/>
    <mergeCell ref="C96:D96"/>
    <mergeCell ref="C156:D156"/>
    <mergeCell ref="C153:D153"/>
    <mergeCell ref="C150:D150"/>
    <mergeCell ref="C147:D147"/>
    <mergeCell ref="C144:D144"/>
    <mergeCell ref="C141:D141"/>
    <mergeCell ref="C138:D138"/>
    <mergeCell ref="C135:D135"/>
    <mergeCell ref="C132:D132"/>
    <mergeCell ref="C75:D75"/>
    <mergeCell ref="C72:D72"/>
    <mergeCell ref="C69:D69"/>
    <mergeCell ref="C66:D66"/>
    <mergeCell ref="C63:D63"/>
    <mergeCell ref="C60:D60"/>
    <mergeCell ref="C57:D57"/>
    <mergeCell ref="C54:D54"/>
    <mergeCell ref="C51:D51"/>
    <mergeCell ref="C21:D21"/>
    <mergeCell ref="C186:D186"/>
    <mergeCell ref="C183:D183"/>
    <mergeCell ref="C180:D180"/>
    <mergeCell ref="C18:D18"/>
    <mergeCell ref="C48:D48"/>
    <mergeCell ref="C45:D45"/>
    <mergeCell ref="C42:D42"/>
    <mergeCell ref="C39:D39"/>
    <mergeCell ref="C36:D36"/>
    <mergeCell ref="C33:D33"/>
    <mergeCell ref="C30:D30"/>
    <mergeCell ref="C27:D27"/>
    <mergeCell ref="C24:D24"/>
    <mergeCell ref="C111:D111"/>
    <mergeCell ref="C114:D114"/>
    <mergeCell ref="C117:D117"/>
    <mergeCell ref="C120:D120"/>
    <mergeCell ref="C123:D123"/>
    <mergeCell ref="A318:A320"/>
    <mergeCell ref="A322:A324"/>
    <mergeCell ref="A330:A331"/>
    <mergeCell ref="A333:A335"/>
    <mergeCell ref="A337:A338"/>
    <mergeCell ref="E436:I436"/>
    <mergeCell ref="C9:D9"/>
    <mergeCell ref="C15:D15"/>
    <mergeCell ref="C12:D12"/>
    <mergeCell ref="C93:D93"/>
    <mergeCell ref="C90:D90"/>
    <mergeCell ref="C87:D87"/>
    <mergeCell ref="C84:D84"/>
    <mergeCell ref="C81:D81"/>
    <mergeCell ref="C78:D78"/>
    <mergeCell ref="C246:D246"/>
    <mergeCell ref="C243:D243"/>
    <mergeCell ref="C240:D240"/>
    <mergeCell ref="C237:D237"/>
    <mergeCell ref="C126:D126"/>
    <mergeCell ref="C99:D99"/>
    <mergeCell ref="C102:D102"/>
    <mergeCell ref="C234:D234"/>
    <mergeCell ref="C231:D231"/>
    <mergeCell ref="J7:K7"/>
    <mergeCell ref="G3:H3"/>
    <mergeCell ref="A310:A312"/>
    <mergeCell ref="A314:A316"/>
    <mergeCell ref="C228:D228"/>
    <mergeCell ref="C225:D225"/>
    <mergeCell ref="C222:D222"/>
    <mergeCell ref="C177:D177"/>
    <mergeCell ref="C174:D174"/>
    <mergeCell ref="A299:A301"/>
    <mergeCell ref="A306:A308"/>
    <mergeCell ref="C171:D171"/>
    <mergeCell ref="C168:D168"/>
    <mergeCell ref="C219:D219"/>
    <mergeCell ref="C216:D216"/>
    <mergeCell ref="C213:D213"/>
    <mergeCell ref="C210:D210"/>
    <mergeCell ref="C207:D207"/>
    <mergeCell ref="C204:D204"/>
    <mergeCell ref="C201:D201"/>
    <mergeCell ref="C198:D198"/>
    <mergeCell ref="C195:D195"/>
    <mergeCell ref="C192:D192"/>
    <mergeCell ref="C189:D189"/>
    <mergeCell ref="A412:A414"/>
    <mergeCell ref="A422:A424"/>
    <mergeCell ref="C165:D165"/>
    <mergeCell ref="C162:D162"/>
    <mergeCell ref="C159:D159"/>
    <mergeCell ref="C129:D129"/>
    <mergeCell ref="J6:K6"/>
    <mergeCell ref="D6:F6"/>
    <mergeCell ref="D7:F7"/>
    <mergeCell ref="A271:A273"/>
    <mergeCell ref="A303:A304"/>
    <mergeCell ref="A358:A359"/>
    <mergeCell ref="A263:A265"/>
    <mergeCell ref="A251:A253"/>
    <mergeCell ref="A267:A269"/>
    <mergeCell ref="A275:A276"/>
    <mergeCell ref="A278:A280"/>
    <mergeCell ref="A282:A283"/>
    <mergeCell ref="A285:A287"/>
    <mergeCell ref="A289:A290"/>
    <mergeCell ref="A292:A294"/>
    <mergeCell ref="A296:A297"/>
    <mergeCell ref="C105:D105"/>
    <mergeCell ref="C108:D108"/>
  </mergeCells>
  <phoneticPr fontId="24" type="noConversion"/>
  <conditionalFormatting sqref="J306 J310 J314 J318 J322">
    <cfRule type="expression" dxfId="133" priority="2">
      <formula>IF(FOLIA_IndexScanner=3,1,0)</formula>
    </cfRule>
  </conditionalFormatting>
  <conditionalFormatting sqref="J361 J365 J369 J373 J377">
    <cfRule type="expression" dxfId="132" priority="1">
      <formula>IF(CAM_IndexScanner=3,1,0)</formula>
    </cfRule>
  </conditionalFormatting>
  <pageMargins left="0.25" right="0" top="0.5" bottom="0.5" header="0.3" footer="0.3"/>
  <pageSetup scale="10" fitToWidth="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42927" r:id="rId4" name="Option Button 7">
              <controlPr defaultSize="0" autoFill="0" autoLine="0" autoPict="0">
                <anchor moveWithCells="1" sizeWithCells="1">
                  <from>
                    <xdr:col>12</xdr:col>
                    <xdr:colOff>177800</xdr:colOff>
                    <xdr:row>5</xdr:row>
                    <xdr:rowOff>25400</xdr:rowOff>
                  </from>
                  <to>
                    <xdr:col>12</xdr:col>
                    <xdr:colOff>609600</xdr:colOff>
                    <xdr:row>5</xdr:row>
                    <xdr:rowOff>177800</xdr:rowOff>
                  </to>
                </anchor>
              </controlPr>
            </control>
          </mc:Choice>
        </mc:AlternateContent>
        <mc:AlternateContent xmlns:mc="http://schemas.openxmlformats.org/markup-compatibility/2006">
          <mc:Choice Requires="x14">
            <control shapeId="142928" r:id="rId5" name="Option Button 8">
              <controlPr defaultSize="0" autoFill="0" autoLine="0" autoPict="0">
                <anchor moveWithCells="1" sizeWithCells="1">
                  <from>
                    <xdr:col>12</xdr:col>
                    <xdr:colOff>635000</xdr:colOff>
                    <xdr:row>5</xdr:row>
                    <xdr:rowOff>25400</xdr:rowOff>
                  </from>
                  <to>
                    <xdr:col>13</xdr:col>
                    <xdr:colOff>292100</xdr:colOff>
                    <xdr:row>5</xdr:row>
                    <xdr:rowOff>177800</xdr:rowOff>
                  </to>
                </anchor>
              </controlPr>
            </control>
          </mc:Choice>
        </mc:AlternateContent>
        <mc:AlternateContent xmlns:mc="http://schemas.openxmlformats.org/markup-compatibility/2006">
          <mc:Choice Requires="x14">
            <control shapeId="143232" r:id="rId6" name="SHOWPROD">
              <controlPr defaultSize="0" print="0" autoFill="0" autoPict="0" macro="[0]!ShowProdSheet">
                <anchor moveWithCells="1" sizeWithCells="1">
                  <from>
                    <xdr:col>48</xdr:col>
                    <xdr:colOff>76200</xdr:colOff>
                    <xdr:row>1</xdr:row>
                    <xdr:rowOff>88900</xdr:rowOff>
                  </from>
                  <to>
                    <xdr:col>50</xdr:col>
                    <xdr:colOff>12700</xdr:colOff>
                    <xdr:row>3</xdr:row>
                    <xdr:rowOff>152400</xdr:rowOff>
                  </to>
                </anchor>
              </controlPr>
            </control>
          </mc:Choice>
        </mc:AlternateContent>
        <mc:AlternateContent xmlns:mc="http://schemas.openxmlformats.org/markup-compatibility/2006">
          <mc:Choice Requires="x14">
            <control shapeId="143233" r:id="rId7" name="GroupBoxColisAssurer">
              <controlPr defaultSize="0" print="0" autoFill="0" autoPict="0">
                <anchor moveWithCells="1" sizeWithCells="1">
                  <from>
                    <xdr:col>12</xdr:col>
                    <xdr:colOff>25400</xdr:colOff>
                    <xdr:row>5</xdr:row>
                    <xdr:rowOff>25400</xdr:rowOff>
                  </from>
                  <to>
                    <xdr:col>13</xdr:col>
                    <xdr:colOff>698500</xdr:colOff>
                    <xdr:row>6</xdr:row>
                    <xdr:rowOff>25400</xdr:rowOff>
                  </to>
                </anchor>
              </controlPr>
            </control>
          </mc:Choice>
        </mc:AlternateContent>
        <mc:AlternateContent xmlns:mc="http://schemas.openxmlformats.org/markup-compatibility/2006">
          <mc:Choice Requires="x14">
            <control shapeId="115247" r:id="rId8" name="BtnProdReset">
              <controlPr defaultSize="0" print="0" autoFill="0" autoPict="0" macro="[0]!ClearProdSheet">
                <anchor moveWithCells="1" sizeWithCells="1">
                  <from>
                    <xdr:col>3</xdr:col>
                    <xdr:colOff>139700</xdr:colOff>
                    <xdr:row>2</xdr:row>
                    <xdr:rowOff>190500</xdr:rowOff>
                  </from>
                  <to>
                    <xdr:col>4</xdr:col>
                    <xdr:colOff>25400</xdr:colOff>
                    <xdr:row>3</xdr:row>
                    <xdr:rowOff>190500</xdr:rowOff>
                  </to>
                </anchor>
              </controlPr>
            </control>
          </mc:Choice>
        </mc:AlternateContent>
        <mc:AlternateContent xmlns:mc="http://schemas.openxmlformats.org/markup-compatibility/2006">
          <mc:Choice Requires="x14">
            <control shapeId="143234" r:id="rId9" name="BtnProdProd">
              <controlPr defaultSize="0" print="0" autoFill="0" autoPict="0" macro="[0]!DebutProd">
                <anchor moveWithCells="1" sizeWithCells="1">
                  <from>
                    <xdr:col>4</xdr:col>
                    <xdr:colOff>177800</xdr:colOff>
                    <xdr:row>2</xdr:row>
                    <xdr:rowOff>190500</xdr:rowOff>
                  </from>
                  <to>
                    <xdr:col>5</xdr:col>
                    <xdr:colOff>0</xdr:colOff>
                    <xdr:row>3</xdr:row>
                    <xdr:rowOff>190500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theme="2"/>
    <pageSetUpPr fitToPage="1"/>
  </sheetPr>
  <dimension ref="A1:B171"/>
  <sheetViews>
    <sheetView showGridLines="0" topLeftCell="AA1" zoomScaleNormal="100" workbookViewId="0">
      <pane ySplit="1" topLeftCell="A2" activePane="bottomLeft" state="frozen"/>
      <selection pane="bottomLeft" activeCell="AB278" sqref="AB278"/>
    </sheetView>
  </sheetViews>
  <sheetFormatPr baseColWidth="10" defaultColWidth="11" defaultRowHeight="16" x14ac:dyDescent="0.2"/>
  <cols>
    <col min="1" max="1" width="10.1640625" customWidth="1"/>
    <col min="2" max="2" width="57.1640625" bestFit="1" customWidth="1"/>
  </cols>
  <sheetData>
    <row r="1" spans="1:2" s="1" customFormat="1" ht="17" customHeight="1" x14ac:dyDescent="0.2">
      <c r="A1"/>
      <c r="B1"/>
    </row>
    <row r="2" spans="1:2" s="1" customFormat="1" x14ac:dyDescent="0.2">
      <c r="A2">
        <v>79</v>
      </c>
      <c r="B2"/>
    </row>
    <row r="3" spans="1:2" s="1" customFormat="1" ht="24" customHeight="1" x14ac:dyDescent="0.2">
      <c r="A3"/>
      <c r="B3"/>
    </row>
    <row r="4" spans="1:2" ht="15.5" customHeight="1" x14ac:dyDescent="0.2">
      <c r="A4">
        <v>295</v>
      </c>
    </row>
    <row r="5" spans="1:2" x14ac:dyDescent="0.2">
      <c r="A5">
        <v>581</v>
      </c>
    </row>
    <row r="6" spans="1:2" x14ac:dyDescent="0.2">
      <c r="A6">
        <v>28</v>
      </c>
    </row>
    <row r="7" spans="1:2" x14ac:dyDescent="0.2">
      <c r="A7">
        <v>28</v>
      </c>
    </row>
    <row r="8" spans="1:2" x14ac:dyDescent="0.2">
      <c r="A8">
        <v>51</v>
      </c>
    </row>
    <row r="9" spans="1:2" s="1" customFormat="1" ht="24" customHeight="1" x14ac:dyDescent="0.2">
      <c r="A9"/>
      <c r="B9"/>
    </row>
    <row r="10" spans="1:2" s="3" customFormat="1" ht="21" customHeight="1" x14ac:dyDescent="0.2">
      <c r="A10">
        <v>99</v>
      </c>
      <c r="B10"/>
    </row>
    <row r="11" spans="1:2" s="3" customFormat="1" ht="21" customHeight="1" x14ac:dyDescent="0.2">
      <c r="A11">
        <v>158</v>
      </c>
      <c r="B11"/>
    </row>
    <row r="12" spans="1:2" s="3" customFormat="1" ht="21" customHeight="1" x14ac:dyDescent="0.2">
      <c r="A12">
        <v>158</v>
      </c>
      <c r="B12"/>
    </row>
    <row r="13" spans="1:2" s="1" customFormat="1" ht="24" customHeight="1" x14ac:dyDescent="0.2">
      <c r="A13"/>
      <c r="B13"/>
    </row>
    <row r="14" spans="1:2" s="1" customFormat="1" ht="15.5" customHeight="1" x14ac:dyDescent="0.2">
      <c r="A14">
        <v>171</v>
      </c>
      <c r="B14"/>
    </row>
    <row r="15" spans="1:2" s="1" customFormat="1" x14ac:dyDescent="0.2">
      <c r="A15">
        <v>250</v>
      </c>
      <c r="B15"/>
    </row>
    <row r="16" spans="1:2" s="3" customFormat="1" x14ac:dyDescent="0.2">
      <c r="A16">
        <v>78</v>
      </c>
      <c r="B16"/>
    </row>
    <row r="17" spans="1:2" s="3" customFormat="1" x14ac:dyDescent="0.2">
      <c r="A17">
        <v>85</v>
      </c>
      <c r="B17"/>
    </row>
    <row r="18" spans="1:2" s="3" customFormat="1" x14ac:dyDescent="0.2">
      <c r="A18">
        <v>92</v>
      </c>
      <c r="B18"/>
    </row>
    <row r="19" spans="1:2" s="3" customFormat="1" ht="15.75" customHeight="1" x14ac:dyDescent="0.2">
      <c r="A19">
        <v>247</v>
      </c>
      <c r="B19"/>
    </row>
    <row r="20" spans="1:2" s="3" customFormat="1" x14ac:dyDescent="0.2">
      <c r="A20">
        <v>350</v>
      </c>
      <c r="B20"/>
    </row>
    <row r="21" spans="1:2" s="3" customFormat="1" x14ac:dyDescent="0.2">
      <c r="A21">
        <v>514</v>
      </c>
      <c r="B21"/>
    </row>
    <row r="22" spans="1:2" s="3" customFormat="1" x14ac:dyDescent="0.2">
      <c r="A22">
        <v>100</v>
      </c>
      <c r="B22"/>
    </row>
    <row r="23" spans="1:2" s="3" customFormat="1" x14ac:dyDescent="0.2">
      <c r="A23">
        <v>107</v>
      </c>
      <c r="B23"/>
    </row>
    <row r="24" spans="1:2" s="3" customFormat="1" x14ac:dyDescent="0.2">
      <c r="A24">
        <v>135</v>
      </c>
      <c r="B24"/>
    </row>
    <row r="25" spans="1:2" s="3" customFormat="1" ht="15.75" customHeight="1" x14ac:dyDescent="0.2">
      <c r="A25">
        <v>246</v>
      </c>
      <c r="B25"/>
    </row>
    <row r="26" spans="1:2" s="3" customFormat="1" x14ac:dyDescent="0.2">
      <c r="A26">
        <v>457</v>
      </c>
      <c r="B26"/>
    </row>
    <row r="27" spans="1:2" s="1" customFormat="1" x14ac:dyDescent="0.2">
      <c r="A27">
        <v>174</v>
      </c>
      <c r="B27"/>
    </row>
    <row r="28" spans="1:2" s="1" customFormat="1" x14ac:dyDescent="0.2">
      <c r="A28">
        <v>233</v>
      </c>
      <c r="B28"/>
    </row>
    <row r="29" spans="1:2" s="1" customFormat="1" x14ac:dyDescent="0.2">
      <c r="A29">
        <v>95</v>
      </c>
      <c r="B29"/>
    </row>
    <row r="30" spans="1:2" s="1" customFormat="1" x14ac:dyDescent="0.2">
      <c r="A30">
        <v>40</v>
      </c>
      <c r="B30"/>
    </row>
    <row r="31" spans="1:2" s="1" customFormat="1" x14ac:dyDescent="0.2">
      <c r="A31">
        <v>786</v>
      </c>
      <c r="B31"/>
    </row>
    <row r="32" spans="1:2" s="3" customFormat="1" x14ac:dyDescent="0.2">
      <c r="A32">
        <v>2624</v>
      </c>
      <c r="B32"/>
    </row>
    <row r="33" spans="1:2" s="3" customFormat="1" x14ac:dyDescent="0.2">
      <c r="A33">
        <v>1555</v>
      </c>
      <c r="B33"/>
    </row>
    <row r="34" spans="1:2" s="3" customFormat="1" x14ac:dyDescent="0.2">
      <c r="A34">
        <v>237</v>
      </c>
      <c r="B34"/>
    </row>
    <row r="35" spans="1:2" ht="24" customHeight="1" x14ac:dyDescent="0.2"/>
    <row r="36" spans="1:2" s="11" customFormat="1" x14ac:dyDescent="0.2">
      <c r="A36">
        <v>1501</v>
      </c>
      <c r="B36"/>
    </row>
    <row r="37" spans="1:2" s="11" customFormat="1" ht="15.5" customHeight="1" x14ac:dyDescent="0.2">
      <c r="A37">
        <v>3650</v>
      </c>
      <c r="B37"/>
    </row>
    <row r="38" spans="1:2" s="11" customFormat="1" x14ac:dyDescent="0.2">
      <c r="A38">
        <v>5807</v>
      </c>
      <c r="B38"/>
    </row>
    <row r="39" spans="1:2" s="11" customFormat="1" x14ac:dyDescent="0.2">
      <c r="A39">
        <v>1452</v>
      </c>
      <c r="B39"/>
    </row>
    <row r="40" spans="1:2" s="11" customFormat="1" x14ac:dyDescent="0.2">
      <c r="A40">
        <v>2634</v>
      </c>
      <c r="B40"/>
    </row>
    <row r="41" spans="1:2" s="11" customFormat="1" x14ac:dyDescent="0.2">
      <c r="A41">
        <v>4145</v>
      </c>
      <c r="B41"/>
    </row>
    <row r="42" spans="1:2" s="11" customFormat="1" x14ac:dyDescent="0.2">
      <c r="A42">
        <v>1493</v>
      </c>
      <c r="B42"/>
    </row>
    <row r="43" spans="1:2" s="11" customFormat="1" x14ac:dyDescent="0.2">
      <c r="A43">
        <v>3612</v>
      </c>
      <c r="B43"/>
    </row>
    <row r="44" spans="1:2" s="11" customFormat="1" x14ac:dyDescent="0.2">
      <c r="A44">
        <v>5805</v>
      </c>
      <c r="B44"/>
    </row>
    <row r="45" spans="1:2" s="11" customFormat="1" x14ac:dyDescent="0.2">
      <c r="A45">
        <v>7231</v>
      </c>
      <c r="B45"/>
    </row>
    <row r="46" spans="1:2" s="11" customFormat="1" x14ac:dyDescent="0.2">
      <c r="A46">
        <v>1327</v>
      </c>
      <c r="B46"/>
    </row>
    <row r="47" spans="1:2" s="11" customFormat="1" x14ac:dyDescent="0.2">
      <c r="A47">
        <v>1866</v>
      </c>
      <c r="B47"/>
    </row>
    <row r="48" spans="1:2" s="11" customFormat="1" x14ac:dyDescent="0.2">
      <c r="A48">
        <v>2848</v>
      </c>
      <c r="B48"/>
    </row>
    <row r="49" spans="1:2" s="11" customFormat="1" x14ac:dyDescent="0.2">
      <c r="A49">
        <v>1427</v>
      </c>
      <c r="B49"/>
    </row>
    <row r="50" spans="1:2" s="11" customFormat="1" x14ac:dyDescent="0.2">
      <c r="A50">
        <v>2331</v>
      </c>
      <c r="B50"/>
    </row>
    <row r="51" spans="1:2" s="11" customFormat="1" x14ac:dyDescent="0.2">
      <c r="A51">
        <v>4131</v>
      </c>
      <c r="B51"/>
    </row>
    <row r="52" spans="1:2" s="11" customFormat="1" x14ac:dyDescent="0.2">
      <c r="A52">
        <v>1443</v>
      </c>
      <c r="B52"/>
    </row>
    <row r="53" spans="1:2" s="11" customFormat="1" x14ac:dyDescent="0.2">
      <c r="A53">
        <v>2265</v>
      </c>
      <c r="B53"/>
    </row>
    <row r="54" spans="1:2" s="11" customFormat="1" x14ac:dyDescent="0.2">
      <c r="A54">
        <v>3731</v>
      </c>
      <c r="B54"/>
    </row>
    <row r="55" spans="1:2" s="11" customFormat="1" x14ac:dyDescent="0.2">
      <c r="A55">
        <v>1451</v>
      </c>
      <c r="B55"/>
    </row>
    <row r="56" spans="1:2" s="11" customFormat="1" x14ac:dyDescent="0.2">
      <c r="A56">
        <v>1949</v>
      </c>
      <c r="B56"/>
    </row>
    <row r="57" spans="1:2" s="11" customFormat="1" x14ac:dyDescent="0.2">
      <c r="A57">
        <v>2944</v>
      </c>
      <c r="B57"/>
    </row>
    <row r="58" spans="1:2" s="11" customFormat="1" x14ac:dyDescent="0.2">
      <c r="A58">
        <v>1535</v>
      </c>
      <c r="B58"/>
    </row>
    <row r="59" spans="1:2" s="11" customFormat="1" x14ac:dyDescent="0.2">
      <c r="A59">
        <v>2487</v>
      </c>
      <c r="B59"/>
    </row>
    <row r="60" spans="1:2" s="11" customFormat="1" x14ac:dyDescent="0.2">
      <c r="A60">
        <v>4080</v>
      </c>
      <c r="B60"/>
    </row>
    <row r="61" spans="1:2" s="11" customFormat="1" x14ac:dyDescent="0.2">
      <c r="A61"/>
      <c r="B61"/>
    </row>
    <row r="70" spans="1:1" x14ac:dyDescent="0.2">
      <c r="A70" t="s">
        <v>134</v>
      </c>
    </row>
    <row r="71" spans="1:1" x14ac:dyDescent="0.2">
      <c r="A71">
        <v>1759</v>
      </c>
    </row>
    <row r="74" spans="1:1" x14ac:dyDescent="0.2">
      <c r="A74">
        <v>1639</v>
      </c>
    </row>
    <row r="86" spans="1:1" x14ac:dyDescent="0.2">
      <c r="A86">
        <v>4945</v>
      </c>
    </row>
    <row r="87" spans="1:1" x14ac:dyDescent="0.2">
      <c r="A87">
        <v>5768</v>
      </c>
    </row>
    <row r="89" spans="1:1" x14ac:dyDescent="0.2">
      <c r="A89">
        <v>4666</v>
      </c>
    </row>
    <row r="90" spans="1:1" x14ac:dyDescent="0.2">
      <c r="A90">
        <v>5448</v>
      </c>
    </row>
    <row r="102" spans="1:1" x14ac:dyDescent="0.2">
      <c r="A102">
        <v>823</v>
      </c>
    </row>
    <row r="105" spans="1:1" x14ac:dyDescent="0.2">
      <c r="A105">
        <v>782</v>
      </c>
    </row>
    <row r="119" spans="1:1" x14ac:dyDescent="0.2">
      <c r="A119">
        <v>208</v>
      </c>
    </row>
    <row r="122" spans="1:1" x14ac:dyDescent="0.2">
      <c r="A122">
        <v>178</v>
      </c>
    </row>
    <row r="143" spans="1:1" x14ac:dyDescent="0.2">
      <c r="A143">
        <v>158</v>
      </c>
    </row>
    <row r="144" spans="1:1" x14ac:dyDescent="0.2">
      <c r="A144">
        <v>2624</v>
      </c>
    </row>
    <row r="147" spans="1:1" x14ac:dyDescent="0.2">
      <c r="A147">
        <v>2231</v>
      </c>
    </row>
    <row r="167" spans="1:1" x14ac:dyDescent="0.2">
      <c r="A167">
        <v>158</v>
      </c>
    </row>
    <row r="168" spans="1:1" x14ac:dyDescent="0.2">
      <c r="A168">
        <v>1555</v>
      </c>
    </row>
    <row r="171" spans="1:1" x14ac:dyDescent="0.2">
      <c r="A171">
        <v>1321</v>
      </c>
    </row>
  </sheetData>
  <sheetProtection algorithmName="SHA-512" hashValue="HTVfnerrR5eoenqbgy7IUqq5k/1cA0Ai/oU3X8AaBmOdl1RIvLOcAfoHulJm36fLTKNAOpKzV96aWBzhstGgGg==" saltValue="eYkRj/QhAoT0RPi/P1Z+zA==" spinCount="100000" sheet="1" objects="1" scenarios="1" selectLockedCells="1"/>
  <phoneticPr fontId="24" type="noConversion"/>
  <pageMargins left="0.5" right="0.5" top="0.5" bottom="0.5" header="0" footer="0"/>
  <pageSetup scale="21" fitToHeight="0" orientation="landscape" horizontalDpi="1200" verticalDpi="1200"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FF00"/>
    <pageSetUpPr fitToPage="1"/>
  </sheetPr>
  <dimension ref="A1:P41"/>
  <sheetViews>
    <sheetView showGridLines="0" zoomScaleNormal="100" workbookViewId="0">
      <selection activeCell="D5" sqref="D5"/>
    </sheetView>
  </sheetViews>
  <sheetFormatPr baseColWidth="10" defaultColWidth="0" defaultRowHeight="16" zeroHeight="1" x14ac:dyDescent="0.2"/>
  <cols>
    <col min="1" max="1" width="15.1640625" style="111" customWidth="1"/>
    <col min="2" max="2" width="5.6640625" style="1" customWidth="1"/>
    <col min="3" max="3" width="39.1640625" style="1" customWidth="1"/>
    <col min="4" max="4" width="11.1640625" style="1" customWidth="1"/>
    <col min="5" max="5" width="52.1640625" style="1" customWidth="1"/>
    <col min="6" max="7" width="14.1640625" style="1" customWidth="1"/>
    <col min="8" max="8" width="14.1640625" style="1" bestFit="1" customWidth="1"/>
    <col min="9" max="9" width="14.1640625" customWidth="1"/>
    <col min="10" max="10" width="17.5" customWidth="1"/>
    <col min="11" max="16" width="10.6640625" customWidth="1"/>
    <col min="17" max="16384" width="10.6640625" hidden="1"/>
  </cols>
  <sheetData>
    <row r="1" spans="1:16" ht="21.5" customHeight="1" x14ac:dyDescent="0.2">
      <c r="B1" s="319" t="str">
        <f>$A$39 &amp; IF(Francais," Liste de Prix V. "," Price List V. ") &amp; YearOfList &amp;
IF(Francais, " en devise "," in ") &amp; IF(IndexCurrency=3,"USD",IF(IndexCurrency=2,"Euro","CAD")) &amp; IF(Francais, ""," Currency")</f>
        <v>WinRHIZO™ Liste de Prix V. 2026 en devise USD</v>
      </c>
      <c r="C1" s="320"/>
      <c r="G1" s="321"/>
      <c r="H1" s="15"/>
      <c r="J1" s="911" t="str">
        <f>IF(Francais,
"2) Si vous avez déjà "&amp; SUBSTITUTE(A39,"™","") &amp; ", indiquez combien de licences (pour un rabais)." &amp; CONCATENATE(CHAR(10), REPT(" ",9), "↓"),
"2) If you already own "&amp; SUBSTITUTE(A39,"™","") &amp; ", indicate how many licences (to get a discount)." &amp; CONCATENATE(CHAR(10), REPT(" ", 9), "↓"))</f>
        <v>2) Si vous avez déjà WinRHIZO, indiquez combien de licences (pour un rabais).
         ↓</v>
      </c>
    </row>
    <row r="2" spans="1:16" s="1" customFormat="1" ht="30" customHeight="1" x14ac:dyDescent="0.2">
      <c r="A2" s="922" t="str">
        <f>IF(Francais,
"1) Choisir combien de license(s) et le modèle du logiciel à acheter" &amp; IF(Checkbox_Updates=TRUE," / mettre à jour.","."),
"1) Select how many license(s) and which model to buy" &amp; IF(Checkbox_Updates=TRUE," or update to.",".") )
&amp; " →"&amp; CHAR(10)  &amp; IF(Checkbox_Updates=TRUE,IF(Francais,
"Pour mettre " &amp; "→" &amp; CHAR(10) &amp; "à jour des licenses, cochez la case, entrée l'année et sélectionnez le modèle que vous possédez.",
"To update " &amp; "→" &amp; CHAR(10)  &amp; "license(s), "  &amp; "check this box, enter the year and select the model you own."),
"")</f>
        <v>1) Choisir combien de license(s) et le modèle du logiciel à acheter / mettre à jour. →
Pour mettre →
à jour des licenses, cochez la case, entrée l'année et sélectionnez le modèle que vous possédez.</v>
      </c>
      <c r="B2" s="585"/>
      <c r="C2" s="586" t="str">
        <f>IF(Francais,"Logiciel","Software")</f>
        <v>Logiciel</v>
      </c>
      <c r="D2" s="587"/>
      <c r="E2" s="587"/>
      <c r="F2" s="587"/>
      <c r="G2" s="587"/>
      <c r="H2" s="587"/>
      <c r="I2" s="588"/>
      <c r="J2" s="911"/>
    </row>
    <row r="3" spans="1:16" s="1" customFormat="1" ht="18" customHeight="1" x14ac:dyDescent="0.2">
      <c r="A3" s="922"/>
      <c r="B3" s="589"/>
      <c r="C3" s="124"/>
      <c r="D3" s="124"/>
      <c r="E3" s="590" t="str">
        <f>REPT(" ",15) &amp; IF(Francais,"Modèle","Model")</f>
        <v xml:space="preserve">               Modèle</v>
      </c>
      <c r="F3" s="60"/>
      <c r="G3" s="15" t="str">
        <f>IF(Francais,"Prix Unit. de Liste","Item List Price")</f>
        <v>Prix Unit. de Liste</v>
      </c>
      <c r="H3" s="15" t="str">
        <f>IF(Francais,"Prix de liste","List Price")</f>
        <v>Prix de liste</v>
      </c>
      <c r="I3" s="591" t="str">
        <f>IF(Francais,"Code Harmonisé","Harmonized Code")</f>
        <v>Code Harmonisé</v>
      </c>
      <c r="J3" s="911"/>
    </row>
    <row r="4" spans="1:16" ht="18" customHeight="1" x14ac:dyDescent="0.2">
      <c r="A4" s="922"/>
      <c r="B4" s="592"/>
      <c r="C4" s="593" t="str">
        <f>IF(Francais,"License(s) Logiciel " &amp; $A$39,$A$39&amp;" Software License(s)")</f>
        <v>License(s) Logiciel WinRHIZO™</v>
      </c>
      <c r="D4" s="594"/>
      <c r="E4" s="594"/>
      <c r="F4" s="594"/>
      <c r="G4" s="147">
        <f>IF(RHIZO_ChkBox_UpgradeUpdate,IFERROR(H4/(RHIZO_N_UpgradeUpdate-1),0),
IFERROR(H4/(RHIZO_N_Software-1),0))</f>
        <v>0</v>
      </c>
      <c r="H4" s="186">
        <f>IF(RHIZO_ChkBox_UpgradeUpdate,ROUND((G5+G6)*(RHIZO_N_UpgradeUpdate-1),0),
ROUND((INDEX(RHIZO_SoftwarePriceList,RHIZO_IndexSoftware))*
IF(RHIZO_N_Software-1=0,0,SUM(MMULT(
  _xlfn.MUNIT(
    RHIZO_N_Software-1),
    INDEX(TableLists[Column10],RHIZO_N_AlreadyHaveSoftware-1+2):
    INDEX(TableLists[Column10],(RHIZO_N_AlreadyHaveSoftware-1+1)+(RHIZO_N_Software-1))
))),0))</f>
        <v>0</v>
      </c>
      <c r="I4" s="595">
        <v>852349</v>
      </c>
      <c r="J4" s="911"/>
    </row>
    <row r="5" spans="1:16" ht="18" customHeight="1" x14ac:dyDescent="0.2">
      <c r="A5" s="922"/>
      <c r="B5" s="600"/>
      <c r="C5" s="708" t="str">
        <f>IF(Francais,"Mise à jour d'une vieille version",
"Update from an older version")</f>
        <v>Mise à jour d'une vieille version</v>
      </c>
      <c r="D5" s="752">
        <v>2012</v>
      </c>
      <c r="E5" s="203" t="str">
        <f>IF(RHIZO_N_UpgradeUpdate&gt;1,
IF(N("Si on downgrade model")+RHIZO_IndexModelSoftware&lt;RHIZO_IndexModelClient,IF(Francais,"Rétrograder de modèle n'est pas possible","Downgrading model is not possible"),""),"")</f>
        <v/>
      </c>
      <c r="F5" s="128" t="str">
        <f>IF(Francais,"Coût mise à jour","Update cost")</f>
        <v>Coût mise à jour</v>
      </c>
      <c r="G5" s="170">
        <f>IF(N("Si Downgrade prix=0 else Prix")+OR(
IF(N("Si on downgrade model")+RHIZO_IndexModelSoftware&lt;RHIZO_IndexModelClient,1,0),
IF(N("Si no update")+RHIZO_YearMostRecent&lt;=RHIZO_YearClient,1,0)
),0,
N("PrixUpdate:")+(MAX(INDEX(RHIZO_SoftwarePriceList,RHIZO_IndexClientVersion)*(1-(1-UpdateResidualValueAfterAnneesMax))*(MIN(RHIZO_YearMostRecent-RHIZO_YearClient,UpdateNAnnesMax))/UpdateNAnnesMax,UpdateMinPrice)+CteUpdate)*(VARS_PriceRise2026_Updates)
)</f>
        <v>1528.68</v>
      </c>
      <c r="I5" s="709"/>
      <c r="J5" s="911"/>
    </row>
    <row r="6" spans="1:16" ht="18" customHeight="1" x14ac:dyDescent="0.2">
      <c r="A6" s="922"/>
      <c r="B6" s="600"/>
      <c r="C6" s="1" t="str">
        <f>IF(RHIZO_ChkBox_UpgradeUpdate,REPT(" ",6) &amp; IF(Francais,
"Si Mise à jour, la licence actuelle devient inutilisable. Votre clé doit être renvoyée pour un échange ou reprogrammée pour la nouvelle version.",
"When updating, you can't use your current license anymore. Your key must be returned for an exchange or reprogrammed for the new version."
),"")</f>
        <v/>
      </c>
      <c r="D6" s="2"/>
      <c r="E6" s="203"/>
      <c r="F6" s="128" t="str">
        <f>IF(Francais,"Coût mise à niveau","Upgrade cost")</f>
        <v>Coût mise à niveau</v>
      </c>
      <c r="G6" s="171">
        <f>IF(N("Si Downgrade prix=0 else Prix")+OR(
IF(N("Si on downgrade model")+RHIZO_IndexModelSoftware&lt;RHIZO_IndexModelClient,1,0)),0,
N("PrixUpgrade :")+(IF(AND((RHIZO_IndexSoftware-RHIZO_IndexClientVersion)&gt;0,RHIZO_IndexSoftware&lt;&gt;RHIZO_IndexClientVersion),INDEX(RHIZO_SoftwarePriceList,RHIZO_IndexSoftware)-INDEX(RHIZO_SoftwarePriceList,RHIZO_IndexClientVersion),0))
)</f>
        <v>0</v>
      </c>
      <c r="H6" s="128"/>
      <c r="I6" s="709"/>
      <c r="J6" s="911"/>
    </row>
    <row r="7" spans="1:16" ht="18" customHeight="1" x14ac:dyDescent="0.2">
      <c r="A7" s="922"/>
      <c r="B7" s="596"/>
      <c r="C7" s="1" t="str">
        <f>"• " &amp; A39 &amp; " " &amp; IF(Francais,
"License Logiciel (32 et 64-bit, pour Windows 8 à 11). Manuesl d'instructions (PDF &amp; Imprimé). Pas d'activation " &amp; "&amp;" &amp;" connexion Internet requise. Licence perpétuelle (valide indéfiniment sans frais supplémentaires).",
"Software license (32 and 64-bit, for Windows 8 to 11). Instructions manuals (PDF &amp; Printed). No activation " &amp; "&amp;" &amp;" Internet connection required. Perpetual license (use it as long as you want without afterward fees)."
)</f>
        <v>• WinRHIZO™ License Logiciel (32 et 64-bit, pour Windows 8 à 11). Manuesl d'instructions (PDF &amp; Imprimé). Pas d'activation &amp; connexion Internet requise. Licence perpétuelle (valide indéfiniment sans frais supplémentaires).</v>
      </c>
      <c r="D7" s="201"/>
      <c r="E7" s="201"/>
      <c r="I7" s="597"/>
      <c r="J7" s="911"/>
    </row>
    <row r="8" spans="1:16" ht="18" customHeight="1" x14ac:dyDescent="0.2">
      <c r="A8" s="922"/>
      <c r="B8" s="596"/>
      <c r="C8" s="1" t="str">
        <f>"• XL" &amp; PROPER(SUBSTITUTE(A39,"Win","")) &amp; " " &amp; IF(Francais,"Logiciel pour analyse des données de " &amp;A39&amp; " (requiert MS Excel, non-inclus)","Software for " &amp;A39&amp; "'s data Analysis (requires MS Excel, not included)" )</f>
        <v>• XLRhizo™ Logiciel pour analyse des données de WinRHIZO™ (requiert MS Excel, non-inclus)</v>
      </c>
      <c r="D8" s="201"/>
      <c r="E8" s="201"/>
      <c r="F8" s="918" t="str">
        <f>IF(Checkbox_Instructions,HYPERLINK("https://regentinstruments.com/assets/" &amp; LOWER(LEFT($A$39,LEN($A$39)-1)) &amp; "_software.html?utm_source=PriceQuoteXLS",IF(Francais,"Cliquez pour voir les caractéristiques par modèle de logiciel","Click to view features per software model")),"")</f>
        <v>Cliquez pour voir les caractéristiques par modèle de logiciel</v>
      </c>
      <c r="G8" s="918"/>
      <c r="H8" s="918"/>
      <c r="I8" s="919"/>
      <c r="J8" s="143" t="str">
        <f>IF(Francais,"  Je possède", "  I own")</f>
        <v xml:space="preserve">  Je possède</v>
      </c>
    </row>
    <row r="9" spans="1:16" ht="18" customHeight="1" x14ac:dyDescent="0.2">
      <c r="A9" s="922"/>
      <c r="B9" s="598"/>
      <c r="C9" s="1" t="str">
        <f>IF(Francais,
"• Clé de protection USB (dispositif de contrôle du logiciel). Le logiciel peut être installé sur plusieurs ordinateurs du titulaire de la licence, "&amp;"mais seul celui où la clé est connectée fonctionnera (facile de déplacer la clé d'ordinateur).",
"• USB drive &amp; key (software controlling device). Software can be installed on more than one licensee's computers, but only the one with the key connected to it can run at a time (easy to move the key from one computer to another)."
)</f>
        <v>• Clé de protection USB (dispositif de contrôle du logiciel). Le logiciel peut être installé sur plusieurs ordinateurs du titulaire de la licence, mais seul celui où la clé est connectée fonctionnera (facile de déplacer la clé d'ordinateur).</v>
      </c>
      <c r="D9" s="7"/>
      <c r="E9" s="7"/>
      <c r="I9" s="597"/>
      <c r="K9" s="332"/>
      <c r="L9" s="332"/>
      <c r="M9" s="332"/>
      <c r="N9" s="332"/>
      <c r="O9" s="332"/>
      <c r="P9" s="332"/>
    </row>
    <row r="10" spans="1:16" ht="7.5" customHeight="1" x14ac:dyDescent="0.2">
      <c r="A10" s="922"/>
      <c r="B10" s="602"/>
      <c r="C10" s="603"/>
      <c r="D10" s="604"/>
      <c r="E10" s="604"/>
      <c r="F10" s="604"/>
      <c r="G10" s="604"/>
      <c r="H10" s="604"/>
      <c r="I10" s="605"/>
      <c r="J10" s="920" t="str">
        <f>IF(Francais,"License(s) Logiciel " &amp; $A$39,$A$39&amp;" Software License(s)")</f>
        <v>License(s) Logiciel WinRHIZO™</v>
      </c>
    </row>
    <row r="11" spans="1:16" ht="25.5" customHeight="1" x14ac:dyDescent="0.2">
      <c r="A11" s="922"/>
      <c r="B11" s="617"/>
      <c r="F11" s="702"/>
      <c r="G11" s="703" t="str">
        <f>IF(Francais,"SOUS-TOTAL LOGICIEL:","SOFTWARE SUBTOTAL:")</f>
        <v>SOUS-TOTAL LOGICIEL:</v>
      </c>
      <c r="H11" s="704">
        <f>H4</f>
        <v>0</v>
      </c>
      <c r="I11" s="705"/>
      <c r="J11" s="920"/>
    </row>
    <row r="12" spans="1:16" ht="10" customHeight="1" x14ac:dyDescent="0.2">
      <c r="A12" s="922"/>
      <c r="B12" s="618"/>
      <c r="C12"/>
      <c r="D12"/>
      <c r="E12"/>
      <c r="F12"/>
      <c r="G12" s="15"/>
      <c r="H12" s="15"/>
      <c r="I12" s="619"/>
      <c r="J12" s="920"/>
    </row>
    <row r="13" spans="1:16" ht="30" customHeight="1" x14ac:dyDescent="0.2">
      <c r="A13" s="716"/>
      <c r="B13" s="585"/>
      <c r="C13" s="586" t="str">
        <f>IF(Francais,"Matériel","Hardware")</f>
        <v>Matériel</v>
      </c>
      <c r="D13" s="606"/>
      <c r="E13" s="606"/>
      <c r="F13" s="606"/>
      <c r="G13" s="606"/>
      <c r="H13" s="606"/>
      <c r="I13" s="607"/>
      <c r="J13" s="631"/>
    </row>
    <row r="14" spans="1:16" ht="30.75" customHeight="1" x14ac:dyDescent="0.2">
      <c r="A14" s="921" t="str">
        <f>"3) " &amp;
IF(Francais,"Choisir 1 ou + → pour un système avec ou sans scanner et choisir le modèle. ""Sans"" est lorque vous en avez déjà un ou devez l'acheter localement.","Select 1 or + → to get a system with or without a scanner and choose the model. ""Without"" is when you already have it or buy it locally.")</f>
        <v>3) Choisir 1 ou + → pour un système avec ou sans scanner et choisir le modèle. "Sans" est lorque vous en avez déjà un ou devez l'acheter localement.</v>
      </c>
      <c r="B14" s="599"/>
      <c r="C14" s="593" t="str">
        <f>IF(Francais,"Système(s) " &amp; $A$39, $A$39 &amp; " System(s)")</f>
        <v>Système(s) WinRHIZO™</v>
      </c>
      <c r="D14" s="916" t="str">
        <f>IF(Francais,
"Incluant:",
"Including:")</f>
        <v>Incluant:</v>
      </c>
      <c r="E14" s="916"/>
      <c r="F14" s="146"/>
      <c r="G14" s="149">
        <f>IFERROR(H14/(RHIZO_N_System-1),0)</f>
        <v>0</v>
      </c>
      <c r="H14" s="188">
        <f>IF(AND(RHIZO_N_Software=1,RHIZO_N_UpgradeUpdate=1,NOT(SuperUser),RHIZO_N_System&gt;1),IF(Francais,"vendu avec logiciel uniquement","sold with software only"),
ROUND((IF(RHIZO_ClientWithOrWithoutScanner=1,
       IF(RHIZO_IndexScanner=1,PrixSTD,PrixLAavecTPU),
       IF(RHIZO_IndexScanner=1,STD_GenCalib_Drivers_Instr_Techsup,LA_GenCalib_Drivers_Instr_Techsup))
+IF(RHIZO_PosiOrBlueBG_Checkbox,IF(RHIZO_IndexScanner=1,PrixRootPosiSTD,PrixRootPosiLA),0)
)*(RHIZO_N_System-1),0))</f>
        <v>0</v>
      </c>
      <c r="I14" s="595">
        <v>903149</v>
      </c>
      <c r="J14" s="631"/>
    </row>
    <row r="15" spans="1:16" ht="15.75" customHeight="1" x14ac:dyDescent="0.2">
      <c r="A15" s="921"/>
      <c r="B15" s="608"/>
      <c r="C15" s="309" t="str">
        <f>"• Scanner"</f>
        <v>• Scanner</v>
      </c>
      <c r="D15" s="917" t="str">
        <f>IF(RHIZO_ClientWithOrWithoutScanner=1,
IF(Francais,
"• Documentation, logiciels et accessoires du manufacturier",
"• Manufacturer documentation, software and accessories"),
IF(Francais,"• Scanner non inclus","• No scanner included"))</f>
        <v>• Documentation, logiciels et accessoires du manufacturier</v>
      </c>
      <c r="E15" s="917"/>
      <c r="G15" s="915" t="str">
        <f>IF(Checkbox_Instructions,HYPERLINK("https://regentinstruments.com/assets/ourscanners.html?utm_source=PriceQuoteXLS",IF(Francais,"Cliquez pour voir les spécifications de nos scanners","Click to view our scanners specifications")),"")</f>
        <v>Cliquez pour voir les spécifications de nos scanners</v>
      </c>
      <c r="H15" s="915"/>
      <c r="I15" s="609"/>
    </row>
    <row r="16" spans="1:16" ht="15.75" customHeight="1" x14ac:dyDescent="0.2">
      <c r="A16" s="921"/>
      <c r="B16" s="608"/>
      <c r="C16" s="310" t="str">
        <f>IF(Francais,"   (seulement vendu avec logiciel)","   (sold with software only)")</f>
        <v xml:space="preserve">   (seulement vendu avec logiciel)</v>
      </c>
      <c r="D16" s="917" t="str">
        <f>IF(RHIZO_ClientWithOrWithoutScanner=1,
IF(Francais,"• Lumière spéciale (LS) pour scanner Racines, Graines ou Aiguilles","• Special Light (SL) for Roots, Seeds and Needles scanning"),
"")</f>
        <v>• Lumière spéciale (LS) pour scanner Racines, Graines ou Aiguilles</v>
      </c>
      <c r="E16" s="917"/>
      <c r="G16" s="915"/>
      <c r="H16" s="915"/>
      <c r="I16" s="597"/>
    </row>
    <row r="17" spans="1:11" ht="15.75" customHeight="1" x14ac:dyDescent="0.2">
      <c r="A17" s="921"/>
      <c r="B17" s="608"/>
      <c r="C17" s="923" t="str">
        <f>IF(AND(RHIZO_IndexScanner=2,RHIZO_ClientWithOrWithoutScanner_ChkBox),
IF(Francais,"Restrictions d'exportation applicables: le Scanner LA peut ne pas être expédiable dans votre pays","Export Restrictions Apply: The LA Scanner cannot be sold worldwide, it might not ship to your country"),
"")</f>
        <v/>
      </c>
      <c r="D17" s="610" t="str">
        <f>IF(Francais,
"• Calibration, Manuel Installation &amp; Utilisation Scanner pour " &amp; A39 &amp; IF(OR(A39="WinRHIZO™",A39="WinSEEDLE™")," &amp; vidéo","") &amp; ", Pilote TWAIN et support technique pour l'acquisition d'image de Racines.",
"• Calibration, Scanner Installation &amp; Utilisation for " &amp; A39 &amp; " manual" &amp; IF(OR(A39="WinRHIZO™",A39="WinSEEDLE™")," &amp; video","") &amp; ", TWAIN driver and Technical support for Roots image acquisition.")</f>
        <v>• Calibration, Manuel Installation &amp; Utilisation Scanner pour WinRHIZO™ &amp; vidéo, Pilote TWAIN et support technique pour l'acquisition d'image de Racines.</v>
      </c>
      <c r="E17" s="610"/>
      <c r="I17" s="611"/>
    </row>
    <row r="18" spans="1:11" ht="8" customHeight="1" x14ac:dyDescent="0.2">
      <c r="A18" s="921"/>
      <c r="B18" s="608"/>
      <c r="C18" s="923"/>
      <c r="D18" s="612"/>
      <c r="E18" s="612"/>
      <c r="F18" s="130"/>
      <c r="I18" s="611"/>
    </row>
    <row r="19" spans="1:11" ht="0.75" customHeight="1" x14ac:dyDescent="0.2">
      <c r="A19" s="921"/>
      <c r="B19" s="608"/>
      <c r="C19" s="16"/>
      <c r="H19" s="150"/>
      <c r="I19" s="611"/>
    </row>
    <row r="20" spans="1:11" ht="0.75" customHeight="1" x14ac:dyDescent="0.2">
      <c r="A20" s="921"/>
      <c r="B20" s="608"/>
      <c r="H20" s="150"/>
      <c r="I20" s="611"/>
    </row>
    <row r="21" spans="1:11" x14ac:dyDescent="0.2">
      <c r="A21" s="921"/>
      <c r="B21" s="608"/>
      <c r="C21" s="1" t="str">
        <f>IF(Francais,"• Positionneur de racines pour scanner ","• Roots Positioning System for ") &amp; IF(RHIZO_IndexScanner=1,"STD","LA") &amp; IF(Francais,""," Scanner")</f>
        <v>• Positionneur de racines pour scanner STD</v>
      </c>
      <c r="D21" s="1" t="str">
        <f>IF(RHIZO_PosiOrBlueBG_Checkbox,
IF(RHIZO_IndexScanner=1,
IF(Francais,"• Positionneur de racines pour scanner STD (3 Plats, Cadre, Blocs, Espaceurs, Fond bleu)","• Roots Positioning System for STD scanner (3 Trays, Frame, Blocks, Spacers, Blue background)"),
IF(Francais,"• Positionneur de racines pour scanner LA (5 Plats, Cadre, Blocs, Espaceurs, Fond bleu)","• Roots Positioning System for LA scanner (5 Trays, Frame, Blocks, Spacers, Blue background)")),
IF(Francais,"• Positionneur de racines non inclus","• No Roots Positioning System included"))</f>
        <v>• Positionneur de racines pour scanner STD (3 Plats, Cadre, Blocs, Espaceurs, Fond bleu)</v>
      </c>
      <c r="H21" s="15"/>
      <c r="I21" s="591"/>
    </row>
    <row r="22" spans="1:11" ht="18" customHeight="1" x14ac:dyDescent="0.2">
      <c r="A22" s="921"/>
      <c r="B22" s="613"/>
      <c r="C22" s="593" t="str">
        <f>IF(Francais, "Accessoires Optionnels","Optional Accessories")</f>
        <v>Accessoires Optionnels</v>
      </c>
      <c r="D22" s="151"/>
      <c r="E22" s="146"/>
      <c r="F22" s="146"/>
      <c r="G22" s="614" t="str">
        <f>IF(Francais,"Sous-Total Accessoires : ","Sub-Total Accessories : ")</f>
        <v xml:space="preserve">Sous-Total Accessoires : </v>
      </c>
      <c r="H22" s="147">
        <f>ROUND(G24*(RHIZO_Option1-1)
+G25*(RHIZO_Option2-1)
+G26*(RHIZO_Option3-1)
+G27*(RHIZO_Option4-1)
+G28*(RHIZO_Option5-1)
+G29*(RHIZO_Option6-1)
+G30*(RHIZO_Option7-1)
+G31*(RHIZO_Option8-1)
+G32*(RHIZO_Option9-1)
+G33*(RHIZO_Option10-1)
+G34*(RHIZO_Option11-1),0)</f>
        <v>0</v>
      </c>
      <c r="I22" s="615">
        <v>847330</v>
      </c>
    </row>
    <row r="23" spans="1:11" x14ac:dyDescent="0.2">
      <c r="A23" s="456"/>
      <c r="B23" s="601"/>
      <c r="C23" s="375" t="str">
        <f>IF(Francais,"Pour obtenir plus que ce qui est inclus dans un système","To get more than what is included in a system")</f>
        <v>Pour obtenir plus que ce qui est inclus dans un système</v>
      </c>
      <c r="D23" s="16" t="str">
        <f>IF(Francais,"   (avec l'achat ou la possession de WinRHIZO uniquement)","   (if you buy or own WinRHIZO only)")</f>
        <v xml:space="preserve">   (avec l'achat ou la possession de WinRHIZO uniquement)</v>
      </c>
      <c r="E23" s="43"/>
      <c r="G23" s="15" t="str">
        <f>IF(Francais,"Prix Unitaire","Unit Price")</f>
        <v>Prix Unitaire</v>
      </c>
      <c r="H23"/>
      <c r="I23" s="611"/>
    </row>
    <row r="24" spans="1:11" x14ac:dyDescent="0.2">
      <c r="A24" s="912" t="str">
        <f xml:space="preserve"> "4) " &amp;
IF(Francais,"Choisir accessoires en extra si désiré. →","Choose extra accessories if you want. →")</f>
        <v>4) Choisir accessoires en extra si désiré. →</v>
      </c>
      <c r="B24" s="601"/>
      <c r="C24" s="917" t="str">
        <f>IF(Francais,"Petits Plats pour Scanner STD &amp; LA","Small Trays for STD &amp; LA Scanner")</f>
        <v>Petits Plats pour Scanner STD &amp; LA</v>
      </c>
      <c r="D24" s="351" t="str">
        <f>IF(Francais,
"Ensemble de 2 Petits plats"  &amp; REPT(" ",35) &amp; " 15x20, 20x25 cm",
"Set of 2 Small trays" &amp; REPT(" ",34) &amp; " 15x20, 20x25 cm"
)</f>
        <v>Ensemble de 2 Petits plats                                    15x20, 20x25 cm</v>
      </c>
      <c r="E24" s="351"/>
      <c r="G24" s="135">
        <f>IF(RHIZO_Option12&lt;=NMaxTray,PrixTraySet2Small,0)</f>
        <v>171</v>
      </c>
      <c r="H24" s="136"/>
      <c r="I24" s="611"/>
    </row>
    <row r="25" spans="1:11" x14ac:dyDescent="0.2">
      <c r="A25" s="912"/>
      <c r="B25" s="601"/>
      <c r="C25" s="917"/>
      <c r="D25" s="352" t="str">
        <f>IF(Francais,
"Ensemble de 3 Petits plats"  &amp; REPT(" ",35) &amp; " 10x15, 15x20, 20x25 cm",
"Set of 3 Small trays" &amp; REPT(" ",34) &amp; " 10x15, 15x20, 20x25 cm"
)</f>
        <v>Ensemble de 3 Petits plats                                    10x15, 15x20, 20x25 cm</v>
      </c>
      <c r="E25" s="352"/>
      <c r="G25" s="135">
        <f>IF(RHIZO_Option12&lt;=NMaxTray,PrixTraySet3Small,0)</f>
        <v>250</v>
      </c>
      <c r="H25" s="136"/>
      <c r="I25" s="611"/>
      <c r="J25" s="413" t="str">
        <f>REPT(" ",0) &amp; IF(Francais,"Plats non-imbriqués","Not Nested Trays")</f>
        <v>Plats non-imbriqués</v>
      </c>
      <c r="K25" s="413"/>
    </row>
    <row r="26" spans="1:11" x14ac:dyDescent="0.2">
      <c r="A26" s="912"/>
      <c r="B26" s="601"/>
      <c r="C26" s="917"/>
      <c r="D26" s="352" t="str">
        <f>IF(Francais,
"Petit plat individuel"  &amp; REPT(" ",47) &amp; " 10x15 cm",
"Individual Small tray" &amp; REPT(" ",31) &amp; " 10x15 cm"
)</f>
        <v>Petit plat individuel                                                10x15 cm</v>
      </c>
      <c r="E26" s="352"/>
      <c r="G26" s="135">
        <f>IF(RHIZO_Option12&lt;=NMaxTray,PrixTray10x15cm,0)</f>
        <v>78</v>
      </c>
      <c r="H26" s="136"/>
      <c r="I26" s="611"/>
      <c r="J26" t="str">
        <f>REPT(" ",2) &amp; IF(Francais,"Ils sont empilés.","They are piled up.")</f>
        <v xml:space="preserve">  Ils sont empilés.</v>
      </c>
    </row>
    <row r="27" spans="1:11" x14ac:dyDescent="0.2">
      <c r="B27" s="601"/>
      <c r="C27" s="917"/>
      <c r="D27" s="352" t="str">
        <f>IF(Francais,
"Petit plat individuel"  &amp; REPT(" ",47) &amp; " 15x20 cm",
"Individual Small tray" &amp; REPT(" ",31) &amp; " 15x20 cm"
)</f>
        <v>Petit plat individuel                                                15x20 cm</v>
      </c>
      <c r="E27" s="352"/>
      <c r="G27" s="135">
        <f>IF(RHIZO_Option12&lt;=NMaxTray,PrixTray15x20cm,0)</f>
        <v>85</v>
      </c>
      <c r="H27" s="136"/>
      <c r="I27" s="611"/>
    </row>
    <row r="28" spans="1:11" x14ac:dyDescent="0.2">
      <c r="B28" s="601"/>
      <c r="C28" s="917"/>
      <c r="D28" s="353" t="str">
        <f>IF(Francais,
"Petit plat individuel"  &amp; REPT(" ",47) &amp; " 20x25 cm",
"Individual Small tray" &amp; REPT(" ",31) &amp; " 20x25 cm"
)</f>
        <v>Petit plat individuel                                                20x25 cm</v>
      </c>
      <c r="E28" s="353"/>
      <c r="G28" s="135">
        <f>IF(RHIZO_Option12&lt;=NMaxTray,PrixTray20x25cm,0)</f>
        <v>92</v>
      </c>
      <c r="H28" s="136"/>
      <c r="I28" s="611"/>
    </row>
    <row r="29" spans="1:11" x14ac:dyDescent="0.2">
      <c r="B29" s="601"/>
      <c r="C29" s="913" t="str">
        <f>IF(Francais,"Moyens &amp; Larges Plats pour Scanner LA","Medium &amp; Large Trays for LA Scanner")</f>
        <v>Moyens &amp; Larges Plats pour Scanner LA</v>
      </c>
      <c r="D29" s="358" t="str">
        <f>IF(Francais,
"Ensemble de 2 Moyens &amp; Larges plats"  &amp; REPT(" ",15) &amp; " 25x35, 30x40 cm",
"Set of 2 Medium &amp; Large trays" &amp; REPT(" ",13) &amp; " 25x35, 30x40 cm"
)</f>
        <v>Ensemble de 2 Moyens &amp; Larges plats                25x35, 30x40 cm</v>
      </c>
      <c r="E29" s="358"/>
      <c r="G29" s="135">
        <f>IF(AND(RHIZO_IndexScanner=2, RHIZO_Option12&lt;=NMaxTray),PrixTraySet2MedLarge,0)</f>
        <v>0</v>
      </c>
      <c r="H29" s="136"/>
      <c r="I29" s="611"/>
    </row>
    <row r="30" spans="1:11" x14ac:dyDescent="0.2">
      <c r="B30" s="601"/>
      <c r="C30" s="913"/>
      <c r="D30" s="358" t="str">
        <f>IF(Francais,
"Ensemble de 3 Moyens &amp; Larges plats"  &amp; REPT(" ",15) &amp; " 20x30, 25x35, 30x40 cm",
"Set of 3 Medium &amp; Large trays" &amp; REPT(" ",13) &amp; " 20x30, 25x35, 30x40 cm"
)</f>
        <v>Ensemble de 3 Moyens &amp; Larges plats                20x30, 25x35, 30x40 cm</v>
      </c>
      <c r="E30" s="358"/>
      <c r="G30" s="135">
        <f>IF(AND(RHIZO_IndexScanner=2, RHIZO_Option12&lt;=NMaxTray),PrixTraySet3MedLarge,0)</f>
        <v>0</v>
      </c>
      <c r="H30" s="136"/>
      <c r="I30" s="611"/>
      <c r="J30" s="414" t="str">
        <f>REPT(" ",0) &amp; IF(Francais,"Plats Imbriqués","Nested Trays")</f>
        <v>Plats Imbriqués</v>
      </c>
      <c r="K30" s="414"/>
    </row>
    <row r="31" spans="1:11" x14ac:dyDescent="0.2">
      <c r="B31" s="601"/>
      <c r="C31" s="913"/>
      <c r="D31" s="358" t="str">
        <f>IF(Francais,
"Ensemble 5 Petits Moyens Larges plats"  &amp; REPT(" ",12) &amp; "  10x15, 15x20, 20x30, 25x35, 30x40 cm",
"Set of 5 Small Medium Large trays" &amp; REPT(" ",4) &amp; "  10x15, 15x20, 20x30, 25x35, 30x40 cm"
)</f>
        <v>Ensemble 5 Petits Moyens Larges plats              10x15, 15x20, 20x30, 25x35, 30x40 cm</v>
      </c>
      <c r="E31" s="358"/>
      <c r="G31" s="135">
        <f>IF(AND(RHIZO_IndexScanner=2, RHIZO_Option12&lt;=NMaxTray),PrixTraySet5SmallMedLarge,0)</f>
        <v>0</v>
      </c>
      <c r="H31" s="136"/>
      <c r="I31" s="611"/>
      <c r="J31" t="str">
        <f>REPT(" ",2) &amp; IF(Francais,"Ils sont imbriqués les","They are embedded")</f>
        <v xml:space="preserve">  Ils sont imbriqués les</v>
      </c>
    </row>
    <row r="32" spans="1:11" x14ac:dyDescent="0.2">
      <c r="B32" s="601"/>
      <c r="C32" s="913"/>
      <c r="D32" s="358" t="str">
        <f>IF(Francais,
"Moyen plat individuel"  &amp; REPT(" ",43) &amp; " 20x30 cm",
"Individual Medium tray" &amp; REPT(" ",26) &amp; " 20x30 cm"
)</f>
        <v>Moyen plat individuel                                            20x30 cm</v>
      </c>
      <c r="E32" s="358"/>
      <c r="G32" s="135">
        <f>IF(AND(RHIZO_IndexScanner=2, RHIZO_Option12&lt;=NMaxTray),PrixTray20x30cm,0)</f>
        <v>0</v>
      </c>
      <c r="H32" s="136"/>
      <c r="I32" s="611"/>
      <c r="J32" t="str">
        <f>REPT(" ",2) &amp; IF(Francais," uns dans les autres."," one into another.")</f>
        <v xml:space="preserve">   uns dans les autres.</v>
      </c>
    </row>
    <row r="33" spans="1:10" x14ac:dyDescent="0.2">
      <c r="B33" s="601"/>
      <c r="C33" s="913"/>
      <c r="D33" s="358" t="str">
        <f>IF(Francais,
"Moyen plat individuel"  &amp; REPT(" ",43) &amp; " 25x35 cm",
"Individual Medium tray" &amp; REPT(" ",26) &amp; " 25x35 cm"
)</f>
        <v>Moyen plat individuel                                            25x35 cm</v>
      </c>
      <c r="E33" s="358"/>
      <c r="G33" s="135">
        <f>IF(AND(RHIZO_IndexScanner=2, RHIZO_Option12&lt;=NMaxTray),PrixTray25x35cm,0)</f>
        <v>0</v>
      </c>
      <c r="H33" s="136"/>
      <c r="I33" s="611"/>
    </row>
    <row r="34" spans="1:10" x14ac:dyDescent="0.2">
      <c r="B34" s="601"/>
      <c r="C34" s="914"/>
      <c r="D34" s="354" t="str">
        <f>IF(Francais,
"Large plat individuel"  &amp; REPT(" ",46) &amp; " 30x40 cm",
"Individual Large tray" &amp; REPT(" ",32) &amp; " 30x40 cm"
)</f>
        <v>Large plat individuel                                               30x40 cm</v>
      </c>
      <c r="E34" s="355"/>
      <c r="F34" s="145"/>
      <c r="G34" s="135">
        <f>IF(AND(RHIZO_IndexScanner=2, RHIZO_Option12&lt;=NMaxTray),PrixTray30x40cm,0)</f>
        <v>0</v>
      </c>
      <c r="H34" s="136"/>
      <c r="I34" s="597"/>
    </row>
    <row r="35" spans="1:10" x14ac:dyDescent="0.2">
      <c r="B35" s="601"/>
      <c r="E35" s="359" t="str">
        <f>IF(Francais,
"Nombre de plats (ne peut pas dépasser " &amp; NMaxTray &amp; ") : ",
"Number of selected trays (cannot exceed " &amp; NMaxTray &amp; ") : "
)</f>
        <v xml:space="preserve">Nombre de plats (ne peut pas dépasser 10) : </v>
      </c>
      <c r="F35" s="360">
        <f>RHIZO_Option12</f>
        <v>0</v>
      </c>
      <c r="G35" s="361" t="str">
        <f>IF(RHIZO_Option12&lt;=NMaxTray,"",IF(Francais,"TROP DE PLATS (MAXIMUM DE " &amp; NMaxTray &amp; "). Veuillez en retirer.","TOO MANY TRAYS (MAXIMUM IS " &amp; NMaxTray &amp; "). Please unselect some."))</f>
        <v/>
      </c>
      <c r="I35" s="597"/>
    </row>
    <row r="36" spans="1:10" x14ac:dyDescent="0.2">
      <c r="B36" s="616" t="str">
        <f>IF(Francais,
CONCATENATE("Note: Les frais d'expédition de plats emboités (p.ex. 1 x 20x30 cm + 1 x 25 x 35 cm + 1 x 30 x 40 cm)"," est nettement inférieure à celle de plats de même taille (p.ex. 3 x 30 x 40 cm ) et les plateaux eux-mêmes coûtent moins cher (si achetés en ensemble prédéfini)."),
"Note: Shipping cost of a set of nested trays (e.g. 1 x 20x30 cm + 1 x 25 x 35 cm + 1 x 30 x 40 cm) is much less than trays of the same size (e.g. 3 x 30 x 40 cm ) and the trays themselves cost less (when bought as a pre-defined set).")</f>
        <v>Note: Les frais d'expédition de plats emboités (p.ex. 1 x 20x30 cm + 1 x 25 x 35 cm + 1 x 30 x 40 cm) est nettement inférieure à celle de plats de même taille (p.ex. 3 x 30 x 40 cm ) et les plateaux eux-mêmes coûtent moins cher (si achetés en ensemble prédéfini).</v>
      </c>
      <c r="C36" s="604"/>
      <c r="D36" s="604"/>
      <c r="E36" s="604"/>
      <c r="F36" s="604"/>
      <c r="G36" s="604"/>
      <c r="H36" s="604"/>
      <c r="I36" s="605"/>
    </row>
    <row r="37" spans="1:10" ht="26.25" customHeight="1" x14ac:dyDescent="0.2">
      <c r="B37" s="16"/>
      <c r="F37" s="702"/>
      <c r="G37" s="703" t="str">
        <f>IF(Francais,"SOUS-TOTAL MATÉRIEL:","HARDWARE SUBTOTAL:")</f>
        <v>SOUS-TOTAL MATÉRIEL:</v>
      </c>
      <c r="H37" s="704">
        <f>IF(ISNUMBER(H14),H14,0)+H22</f>
        <v>0</v>
      </c>
      <c r="I37" s="706"/>
    </row>
    <row r="38" spans="1:10" x14ac:dyDescent="0.2">
      <c r="B38" s="16"/>
      <c r="I38" s="1"/>
    </row>
    <row r="39" spans="1:10" ht="28.25" customHeight="1" x14ac:dyDescent="0.2">
      <c r="A39" s="322" t="s">
        <v>168</v>
      </c>
      <c r="B39" s="315"/>
      <c r="C39" s="316"/>
      <c r="D39" s="316"/>
      <c r="E39" s="707" t="str">
        <f>A39 &amp; IF(Francais, " Logiciel et Matériel"," Software &amp; Hardware")</f>
        <v>WinRHIZO™ Logiciel et Matériel</v>
      </c>
      <c r="F39" s="582"/>
      <c r="G39" s="583" t="s">
        <v>771</v>
      </c>
      <c r="H39" s="584">
        <f>(H4)+IF(ISNUMBER(H14),H14,0)+H22</f>
        <v>0</v>
      </c>
      <c r="I39" s="581"/>
    </row>
    <row r="40" spans="1:10" ht="19" x14ac:dyDescent="0.2">
      <c r="B40" s="16"/>
      <c r="G40" s="720" t="str">
        <f>IF(Francais,"Valide jusqu'au","Valid until")</f>
        <v>Valide jusqu'au</v>
      </c>
      <c r="H40" s="318" t="s">
        <v>795</v>
      </c>
    </row>
    <row r="41" spans="1:10" x14ac:dyDescent="0.2">
      <c r="A41" s="717"/>
      <c r="B41" s="715"/>
      <c r="C41" s="715"/>
      <c r="D41" s="717"/>
      <c r="E41" s="718" t="str">
        <f>HYPERLINK("mailto:sales@regentinstruments.com",IF(Francais,"Pour des questions ou pour placer une commande, contactez: sales@regentinstruments.com","For questions or to place an order contact: sales@regentinstruments.com"))</f>
        <v>Pour des questions ou pour placer une commande, contactez: sales@regentinstruments.com</v>
      </c>
      <c r="F41" s="715"/>
      <c r="G41" s="719"/>
      <c r="H41" s="715"/>
      <c r="I41" s="715"/>
      <c r="J41" s="180"/>
    </row>
  </sheetData>
  <sheetProtection algorithmName="SHA-512" hashValue="zdXWnWQDmfuasxq6D+JJyhJkDJkrz+y+zHy9bY6W2n4Gk5iTRog92qE7b1SoJa1kJ7b7PnovDz/A7/WwW6gKKQ==" saltValue="5oCux4Y0eaF8HuzTaCO9Pw==" spinCount="100000" sheet="1" objects="1" scenarios="1" selectLockedCells="1"/>
  <mergeCells count="13">
    <mergeCell ref="J1:J7"/>
    <mergeCell ref="A24:A26"/>
    <mergeCell ref="C29:C34"/>
    <mergeCell ref="G15:H16"/>
    <mergeCell ref="D14:E14"/>
    <mergeCell ref="D15:E15"/>
    <mergeCell ref="D16:E16"/>
    <mergeCell ref="C24:C28"/>
    <mergeCell ref="F8:I8"/>
    <mergeCell ref="J10:J12"/>
    <mergeCell ref="A14:A22"/>
    <mergeCell ref="A2:A12"/>
    <mergeCell ref="C17:C18"/>
  </mergeCells>
  <phoneticPr fontId="24" type="noConversion"/>
  <conditionalFormatting sqref="D29:D34 G32:G34">
    <cfRule type="expression" dxfId="131" priority="68">
      <formula>IF(RHIZO_IndexScanner=1,1,0)</formula>
    </cfRule>
  </conditionalFormatting>
  <conditionalFormatting sqref="G5:G6">
    <cfRule type="expression" dxfId="130" priority="57">
      <formula>IF(N("Si Downgrade prix=0 else Prix")+OR( IF(N("Si on downgrade model")+RHIZO_IndexModelSoftware&lt;RHIZO_IndexModelClient,1,0), IF(N("Si on downgrade de 64bits à 32bits")+AND(RHIZO_IndexClientVersion&gt;RHIZO_UpgradeNModels,RHIZO_IndexSoftware&lt;=RHIZO_UpgradeNModels),1,0) ),1,0)</formula>
    </cfRule>
  </conditionalFormatting>
  <conditionalFormatting sqref="C23 D15:D17 D19:D21">
    <cfRule type="expression" dxfId="129" priority="55">
      <formula>NOT(Checkbox_Descriptions)</formula>
    </cfRule>
  </conditionalFormatting>
  <conditionalFormatting sqref="G14 H22 H37 H39 H3 H11 G4:G6">
    <cfRule type="expression" dxfId="128" priority="66">
      <formula>OR(IndexZone=5)</formula>
    </cfRule>
    <cfRule type="expression" dxfId="127" priority="67">
      <formula>OR(IndexZone=3, IndexZone=8, IndexZone=10)</formula>
    </cfRule>
  </conditionalFormatting>
  <conditionalFormatting sqref="D7:D8">
    <cfRule type="expression" dxfId="126" priority="27">
      <formula>NOT(Checkbox_Descriptions)</formula>
    </cfRule>
  </conditionalFormatting>
  <conditionalFormatting sqref="H14">
    <cfRule type="expression" dxfId="125" priority="26">
      <formula>ISTEXT($H$14)</formula>
    </cfRule>
  </conditionalFormatting>
  <conditionalFormatting sqref="A14">
    <cfRule type="expression" dxfId="124" priority="13">
      <formula>NOT(Checkbox_Instructions)</formula>
    </cfRule>
  </conditionalFormatting>
  <conditionalFormatting sqref="J1">
    <cfRule type="expression" dxfId="123" priority="11">
      <formula>NOT(Checkbox_Instructions)</formula>
    </cfRule>
  </conditionalFormatting>
  <conditionalFormatting sqref="A24">
    <cfRule type="expression" dxfId="122" priority="6">
      <formula>NOT(Checkbox_Instructions)</formula>
    </cfRule>
  </conditionalFormatting>
  <conditionalFormatting sqref="F5:G6">
    <cfRule type="expression" dxfId="121" priority="5">
      <formula>IF(RHIZO_ChkBox_UpgradeUpdate,0,1)</formula>
    </cfRule>
  </conditionalFormatting>
  <conditionalFormatting sqref="A2">
    <cfRule type="expression" dxfId="120" priority="2">
      <formula>NOT(Checkbox_Instructions)</formula>
    </cfRule>
  </conditionalFormatting>
  <dataValidations disablePrompts="1" count="1">
    <dataValidation type="custom" allowBlank="1" showInputMessage="1" showErrorMessage="1" sqref="G15:H16 F8:I8" xr:uid="{00000000-0002-0000-0300-000000000000}">
      <formula1>"&lt;0&gt;0"</formula1>
    </dataValidation>
  </dataValidations>
  <pageMargins left="0.7" right="0.7" top="0.75" bottom="0.75" header="0.3" footer="0.3"/>
  <pageSetup scale="53" orientation="landscape"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2357" r:id="rId4" name="CheckBoxDetails">
              <controlPr defaultSize="0" autoFill="0" autoLine="0" autoPict="0">
                <anchor moveWithCells="1" sizeWithCells="1">
                  <from>
                    <xdr:col>6</xdr:col>
                    <xdr:colOff>76200</xdr:colOff>
                    <xdr:row>0</xdr:row>
                    <xdr:rowOff>25400</xdr:rowOff>
                  </from>
                  <to>
                    <xdr:col>6</xdr:col>
                    <xdr:colOff>838200</xdr:colOff>
                    <xdr:row>0</xdr:row>
                    <xdr:rowOff>228600</xdr:rowOff>
                  </to>
                </anchor>
              </controlPr>
            </control>
          </mc:Choice>
        </mc:AlternateContent>
        <mc:AlternateContent xmlns:mc="http://schemas.openxmlformats.org/markup-compatibility/2006">
          <mc:Choice Requires="x14">
            <control shapeId="12374" r:id="rId5" name="Drop Down 86">
              <controlPr defaultSize="0" autoLine="0" autoPict="0">
                <anchor moveWithCells="1" sizeWithCells="1">
                  <from>
                    <xdr:col>1</xdr:col>
                    <xdr:colOff>0</xdr:colOff>
                    <xdr:row>13</xdr:row>
                    <xdr:rowOff>101600</xdr:rowOff>
                  </from>
                  <to>
                    <xdr:col>2</xdr:col>
                    <xdr:colOff>25400</xdr:colOff>
                    <xdr:row>13</xdr:row>
                    <xdr:rowOff>292100</xdr:rowOff>
                  </to>
                </anchor>
              </controlPr>
            </control>
          </mc:Choice>
        </mc:AlternateContent>
        <mc:AlternateContent xmlns:mc="http://schemas.openxmlformats.org/markup-compatibility/2006">
          <mc:Choice Requires="x14">
            <control shapeId="12384" r:id="rId6" name="Check Box 96">
              <controlPr defaultSize="0" autoFill="0" autoLine="0" autoPict="0">
                <anchor moveWithCells="1" sizeWithCells="1">
                  <from>
                    <xdr:col>5</xdr:col>
                    <xdr:colOff>25400</xdr:colOff>
                    <xdr:row>0</xdr:row>
                    <xdr:rowOff>25400</xdr:rowOff>
                  </from>
                  <to>
                    <xdr:col>5</xdr:col>
                    <xdr:colOff>1092200</xdr:colOff>
                    <xdr:row>0</xdr:row>
                    <xdr:rowOff>228600</xdr:rowOff>
                  </to>
                </anchor>
              </controlPr>
            </control>
          </mc:Choice>
        </mc:AlternateContent>
        <mc:AlternateContent xmlns:mc="http://schemas.openxmlformats.org/markup-compatibility/2006">
          <mc:Choice Requires="x14">
            <control shapeId="12394" r:id="rId7" name="Drop Down 106">
              <controlPr defaultSize="0" autoLine="0" autoPict="0">
                <anchor moveWithCells="1">
                  <from>
                    <xdr:col>4</xdr:col>
                    <xdr:colOff>76200</xdr:colOff>
                    <xdr:row>2</xdr:row>
                    <xdr:rowOff>215900</xdr:rowOff>
                  </from>
                  <to>
                    <xdr:col>4</xdr:col>
                    <xdr:colOff>3136900</xdr:colOff>
                    <xdr:row>4</xdr:row>
                    <xdr:rowOff>0</xdr:rowOff>
                  </to>
                </anchor>
              </controlPr>
            </control>
          </mc:Choice>
        </mc:AlternateContent>
        <mc:AlternateContent xmlns:mc="http://schemas.openxmlformats.org/markup-compatibility/2006">
          <mc:Choice Requires="x14">
            <control shapeId="12397" r:id="rId8" name="ScannerCheckbox">
              <controlPr defaultSize="0" autoFill="0" autoLine="0" autoPict="0">
                <anchor moveWithCells="1" sizeWithCells="1">
                  <from>
                    <xdr:col>1</xdr:col>
                    <xdr:colOff>101600</xdr:colOff>
                    <xdr:row>13</xdr:row>
                    <xdr:rowOff>355600</xdr:rowOff>
                  </from>
                  <to>
                    <xdr:col>2</xdr:col>
                    <xdr:colOff>749300</xdr:colOff>
                    <xdr:row>15</xdr:row>
                    <xdr:rowOff>25400</xdr:rowOff>
                  </to>
                </anchor>
              </controlPr>
            </control>
          </mc:Choice>
        </mc:AlternateContent>
        <mc:AlternateContent xmlns:mc="http://schemas.openxmlformats.org/markup-compatibility/2006">
          <mc:Choice Requires="x14">
            <control shapeId="12406" r:id="rId9" name="DropDown_IndexScanner">
              <controlPr defaultSize="0" autoLine="0" autoPict="0">
                <anchor moveWithCells="1" sizeWithCells="1">
                  <from>
                    <xdr:col>2</xdr:col>
                    <xdr:colOff>736600</xdr:colOff>
                    <xdr:row>14</xdr:row>
                    <xdr:rowOff>0</xdr:rowOff>
                  </from>
                  <to>
                    <xdr:col>2</xdr:col>
                    <xdr:colOff>2006600</xdr:colOff>
                    <xdr:row>15</xdr:row>
                    <xdr:rowOff>25400</xdr:rowOff>
                  </to>
                </anchor>
              </controlPr>
            </control>
          </mc:Choice>
        </mc:AlternateContent>
        <mc:AlternateContent xmlns:mc="http://schemas.openxmlformats.org/markup-compatibility/2006">
          <mc:Choice Requires="x14">
            <control shapeId="12407" r:id="rId10" name="PosiOrBlueBG_Checkbox">
              <controlPr defaultSize="0" autoFill="0" autoLine="0" autoPict="0">
                <anchor moveWithCells="1" sizeWithCells="1">
                  <from>
                    <xdr:col>1</xdr:col>
                    <xdr:colOff>101600</xdr:colOff>
                    <xdr:row>19</xdr:row>
                    <xdr:rowOff>165100</xdr:rowOff>
                  </from>
                  <to>
                    <xdr:col>2</xdr:col>
                    <xdr:colOff>2870200</xdr:colOff>
                    <xdr:row>21</xdr:row>
                    <xdr:rowOff>25400</xdr:rowOff>
                  </to>
                </anchor>
              </controlPr>
            </control>
          </mc:Choice>
        </mc:AlternateContent>
        <mc:AlternateContent xmlns:mc="http://schemas.openxmlformats.org/markup-compatibility/2006">
          <mc:Choice Requires="x14">
            <control shapeId="12388" r:id="rId11" name="Drop Down 100">
              <controlPr defaultSize="0" autoLine="0" autoPict="0">
                <anchor moveWithCells="1" sizeWithCells="1">
                  <from>
                    <xdr:col>5</xdr:col>
                    <xdr:colOff>368300</xdr:colOff>
                    <xdr:row>24</xdr:row>
                    <xdr:rowOff>25400</xdr:rowOff>
                  </from>
                  <to>
                    <xdr:col>5</xdr:col>
                    <xdr:colOff>749300</xdr:colOff>
                    <xdr:row>24</xdr:row>
                    <xdr:rowOff>177800</xdr:rowOff>
                  </to>
                </anchor>
              </controlPr>
            </control>
          </mc:Choice>
        </mc:AlternateContent>
        <mc:AlternateContent xmlns:mc="http://schemas.openxmlformats.org/markup-compatibility/2006">
          <mc:Choice Requires="x14">
            <control shapeId="12387" r:id="rId12" name="Drop Down 99">
              <controlPr defaultSize="0" autoLine="0" autoPict="0">
                <anchor moveWithCells="1" sizeWithCells="1">
                  <from>
                    <xdr:col>5</xdr:col>
                    <xdr:colOff>368300</xdr:colOff>
                    <xdr:row>23</xdr:row>
                    <xdr:rowOff>25400</xdr:rowOff>
                  </from>
                  <to>
                    <xdr:col>5</xdr:col>
                    <xdr:colOff>749300</xdr:colOff>
                    <xdr:row>23</xdr:row>
                    <xdr:rowOff>177800</xdr:rowOff>
                  </to>
                </anchor>
              </controlPr>
            </control>
          </mc:Choice>
        </mc:AlternateContent>
        <mc:AlternateContent xmlns:mc="http://schemas.openxmlformats.org/markup-compatibility/2006">
          <mc:Choice Requires="x14">
            <control shapeId="12415" r:id="rId13" name="Drop Down 127">
              <controlPr defaultSize="0" autoLine="0" autoPict="0">
                <anchor moveWithCells="1" sizeWithCells="1">
                  <from>
                    <xdr:col>5</xdr:col>
                    <xdr:colOff>368300</xdr:colOff>
                    <xdr:row>25</xdr:row>
                    <xdr:rowOff>25400</xdr:rowOff>
                  </from>
                  <to>
                    <xdr:col>5</xdr:col>
                    <xdr:colOff>749300</xdr:colOff>
                    <xdr:row>25</xdr:row>
                    <xdr:rowOff>177800</xdr:rowOff>
                  </to>
                </anchor>
              </controlPr>
            </control>
          </mc:Choice>
        </mc:AlternateContent>
        <mc:AlternateContent xmlns:mc="http://schemas.openxmlformats.org/markup-compatibility/2006">
          <mc:Choice Requires="x14">
            <control shapeId="12416" r:id="rId14" name="Drop Down 128">
              <controlPr defaultSize="0" autoLine="0" autoPict="0">
                <anchor moveWithCells="1" sizeWithCells="1">
                  <from>
                    <xdr:col>5</xdr:col>
                    <xdr:colOff>368300</xdr:colOff>
                    <xdr:row>28</xdr:row>
                    <xdr:rowOff>25400</xdr:rowOff>
                  </from>
                  <to>
                    <xdr:col>5</xdr:col>
                    <xdr:colOff>749300</xdr:colOff>
                    <xdr:row>28</xdr:row>
                    <xdr:rowOff>177800</xdr:rowOff>
                  </to>
                </anchor>
              </controlPr>
            </control>
          </mc:Choice>
        </mc:AlternateContent>
        <mc:AlternateContent xmlns:mc="http://schemas.openxmlformats.org/markup-compatibility/2006">
          <mc:Choice Requires="x14">
            <control shapeId="12417" r:id="rId15" name="Drop Down 129">
              <controlPr defaultSize="0" autoLine="0" autoPict="0">
                <anchor moveWithCells="1" sizeWithCells="1">
                  <from>
                    <xdr:col>5</xdr:col>
                    <xdr:colOff>368300</xdr:colOff>
                    <xdr:row>29</xdr:row>
                    <xdr:rowOff>25400</xdr:rowOff>
                  </from>
                  <to>
                    <xdr:col>5</xdr:col>
                    <xdr:colOff>749300</xdr:colOff>
                    <xdr:row>29</xdr:row>
                    <xdr:rowOff>177800</xdr:rowOff>
                  </to>
                </anchor>
              </controlPr>
            </control>
          </mc:Choice>
        </mc:AlternateContent>
        <mc:AlternateContent xmlns:mc="http://schemas.openxmlformats.org/markup-compatibility/2006">
          <mc:Choice Requires="x14">
            <control shapeId="12418" r:id="rId16" name="Drop Down 130">
              <controlPr defaultSize="0" autoLine="0" autoPict="0">
                <anchor moveWithCells="1" sizeWithCells="1">
                  <from>
                    <xdr:col>5</xdr:col>
                    <xdr:colOff>368300</xdr:colOff>
                    <xdr:row>30</xdr:row>
                    <xdr:rowOff>25400</xdr:rowOff>
                  </from>
                  <to>
                    <xdr:col>5</xdr:col>
                    <xdr:colOff>749300</xdr:colOff>
                    <xdr:row>30</xdr:row>
                    <xdr:rowOff>177800</xdr:rowOff>
                  </to>
                </anchor>
              </controlPr>
            </control>
          </mc:Choice>
        </mc:AlternateContent>
        <mc:AlternateContent xmlns:mc="http://schemas.openxmlformats.org/markup-compatibility/2006">
          <mc:Choice Requires="x14">
            <control shapeId="12419" r:id="rId17" name="Drop Down 131">
              <controlPr defaultSize="0" autoLine="0" autoPict="0">
                <anchor moveWithCells="1" sizeWithCells="1">
                  <from>
                    <xdr:col>5</xdr:col>
                    <xdr:colOff>368300</xdr:colOff>
                    <xdr:row>26</xdr:row>
                    <xdr:rowOff>25400</xdr:rowOff>
                  </from>
                  <to>
                    <xdr:col>5</xdr:col>
                    <xdr:colOff>749300</xdr:colOff>
                    <xdr:row>26</xdr:row>
                    <xdr:rowOff>177800</xdr:rowOff>
                  </to>
                </anchor>
              </controlPr>
            </control>
          </mc:Choice>
        </mc:AlternateContent>
        <mc:AlternateContent xmlns:mc="http://schemas.openxmlformats.org/markup-compatibility/2006">
          <mc:Choice Requires="x14">
            <control shapeId="12420" r:id="rId18" name="Drop Down 132">
              <controlPr defaultSize="0" autoLine="0" autoPict="0">
                <anchor moveWithCells="1" sizeWithCells="1">
                  <from>
                    <xdr:col>5</xdr:col>
                    <xdr:colOff>368300</xdr:colOff>
                    <xdr:row>27</xdr:row>
                    <xdr:rowOff>25400</xdr:rowOff>
                  </from>
                  <to>
                    <xdr:col>5</xdr:col>
                    <xdr:colOff>749300</xdr:colOff>
                    <xdr:row>27</xdr:row>
                    <xdr:rowOff>177800</xdr:rowOff>
                  </to>
                </anchor>
              </controlPr>
            </control>
          </mc:Choice>
        </mc:AlternateContent>
        <mc:AlternateContent xmlns:mc="http://schemas.openxmlformats.org/markup-compatibility/2006">
          <mc:Choice Requires="x14">
            <control shapeId="12421" r:id="rId19" name="Drop Down 133">
              <controlPr defaultSize="0" autoLine="0" autoPict="0">
                <anchor moveWithCells="1" sizeWithCells="1">
                  <from>
                    <xdr:col>5</xdr:col>
                    <xdr:colOff>368300</xdr:colOff>
                    <xdr:row>31</xdr:row>
                    <xdr:rowOff>25400</xdr:rowOff>
                  </from>
                  <to>
                    <xdr:col>5</xdr:col>
                    <xdr:colOff>749300</xdr:colOff>
                    <xdr:row>31</xdr:row>
                    <xdr:rowOff>177800</xdr:rowOff>
                  </to>
                </anchor>
              </controlPr>
            </control>
          </mc:Choice>
        </mc:AlternateContent>
        <mc:AlternateContent xmlns:mc="http://schemas.openxmlformats.org/markup-compatibility/2006">
          <mc:Choice Requires="x14">
            <control shapeId="12422" r:id="rId20" name="Drop Down 134">
              <controlPr defaultSize="0" autoLine="0" autoPict="0">
                <anchor moveWithCells="1" sizeWithCells="1">
                  <from>
                    <xdr:col>5</xdr:col>
                    <xdr:colOff>368300</xdr:colOff>
                    <xdr:row>32</xdr:row>
                    <xdr:rowOff>25400</xdr:rowOff>
                  </from>
                  <to>
                    <xdr:col>5</xdr:col>
                    <xdr:colOff>749300</xdr:colOff>
                    <xdr:row>32</xdr:row>
                    <xdr:rowOff>177800</xdr:rowOff>
                  </to>
                </anchor>
              </controlPr>
            </control>
          </mc:Choice>
        </mc:AlternateContent>
        <mc:AlternateContent xmlns:mc="http://schemas.openxmlformats.org/markup-compatibility/2006">
          <mc:Choice Requires="x14">
            <control shapeId="12423" r:id="rId21" name="Drop Down 135">
              <controlPr defaultSize="0" autoLine="0" autoPict="0">
                <anchor moveWithCells="1" sizeWithCells="1">
                  <from>
                    <xdr:col>5</xdr:col>
                    <xdr:colOff>368300</xdr:colOff>
                    <xdr:row>33</xdr:row>
                    <xdr:rowOff>25400</xdr:rowOff>
                  </from>
                  <to>
                    <xdr:col>5</xdr:col>
                    <xdr:colOff>749300</xdr:colOff>
                    <xdr:row>33</xdr:row>
                    <xdr:rowOff>177800</xdr:rowOff>
                  </to>
                </anchor>
              </controlPr>
            </control>
          </mc:Choice>
        </mc:AlternateContent>
        <mc:AlternateContent xmlns:mc="http://schemas.openxmlformats.org/markup-compatibility/2006">
          <mc:Choice Requires="x14">
            <control shapeId="12427" r:id="rId22" name="DropDown_N_SoftwareOrUpg">
              <controlPr defaultSize="0" autoLine="0" autoPict="0">
                <anchor moveWithCells="1">
                  <from>
                    <xdr:col>1</xdr:col>
                    <xdr:colOff>0</xdr:colOff>
                    <xdr:row>3</xdr:row>
                    <xdr:rowOff>25400</xdr:rowOff>
                  </from>
                  <to>
                    <xdr:col>2</xdr:col>
                    <xdr:colOff>25400</xdr:colOff>
                    <xdr:row>3</xdr:row>
                    <xdr:rowOff>215900</xdr:rowOff>
                  </to>
                </anchor>
              </controlPr>
            </control>
          </mc:Choice>
        </mc:AlternateContent>
        <mc:AlternateContent xmlns:mc="http://schemas.openxmlformats.org/markup-compatibility/2006">
          <mc:Choice Requires="x14">
            <control shapeId="12383" r:id="rId23" name="Drop Down 95">
              <controlPr defaultSize="0" autoLine="0" autoPict="0">
                <anchor moveWithCells="1" sizeWithCells="1">
                  <from>
                    <xdr:col>9</xdr:col>
                    <xdr:colOff>114300</xdr:colOff>
                    <xdr:row>8</xdr:row>
                    <xdr:rowOff>12700</xdr:rowOff>
                  </from>
                  <to>
                    <xdr:col>9</xdr:col>
                    <xdr:colOff>863600</xdr:colOff>
                    <xdr:row>8</xdr:row>
                    <xdr:rowOff>215900</xdr:rowOff>
                  </to>
                </anchor>
              </controlPr>
            </control>
          </mc:Choice>
        </mc:AlternateContent>
        <mc:AlternateContent xmlns:mc="http://schemas.openxmlformats.org/markup-compatibility/2006">
          <mc:Choice Requires="x14">
            <control shapeId="12380" r:id="rId24" name="DropDown_IndexClientVersion">
              <controlPr defaultSize="0" autoLine="0" autoPict="0">
                <anchor moveWithCells="1" sizeWithCells="1">
                  <from>
                    <xdr:col>4</xdr:col>
                    <xdr:colOff>711200</xdr:colOff>
                    <xdr:row>4</xdr:row>
                    <xdr:rowOff>12700</xdr:rowOff>
                  </from>
                  <to>
                    <xdr:col>4</xdr:col>
                    <xdr:colOff>2108200</xdr:colOff>
                    <xdr:row>5</xdr:row>
                    <xdr:rowOff>12700</xdr:rowOff>
                  </to>
                </anchor>
              </controlPr>
            </control>
          </mc:Choice>
        </mc:AlternateContent>
        <mc:AlternateContent xmlns:mc="http://schemas.openxmlformats.org/markup-compatibility/2006">
          <mc:Choice Requires="x14">
            <control shapeId="12424" r:id="rId25" name="ChkB_UpgradeUpdate">
              <controlPr defaultSize="0" autoFill="0" autoLine="0" autoPict="0">
                <anchor moveWithCells="1" sizeWithCells="1">
                  <from>
                    <xdr:col>2</xdr:col>
                    <xdr:colOff>139700</xdr:colOff>
                    <xdr:row>4</xdr:row>
                    <xdr:rowOff>12700</xdr:rowOff>
                  </from>
                  <to>
                    <xdr:col>2</xdr:col>
                    <xdr:colOff>2908300</xdr:colOff>
                    <xdr:row>4</xdr:row>
                    <xdr:rowOff>215900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426</vt:i4>
      </vt:variant>
    </vt:vector>
  </HeadingPairs>
  <TitlesOfParts>
    <vt:vector size="437" baseType="lpstr">
      <vt:lpstr>Home</vt:lpstr>
      <vt:lpstr>Quote</vt:lpstr>
      <vt:lpstr>WinRHIZO</vt:lpstr>
      <vt:lpstr>WinRHIZOTron</vt:lpstr>
      <vt:lpstr>WinSEEDLE</vt:lpstr>
      <vt:lpstr>WinFOLIA</vt:lpstr>
      <vt:lpstr>WinCAM</vt:lpstr>
      <vt:lpstr>WinDENDRO</vt:lpstr>
      <vt:lpstr>WinCELL</vt:lpstr>
      <vt:lpstr>WinSCANOPY</vt:lpstr>
      <vt:lpstr>Static $</vt:lpstr>
      <vt:lpstr>AccountNumber</vt:lpstr>
      <vt:lpstr>BoxSizeAndWeight</vt:lpstr>
      <vt:lpstr>CAM_Access1</vt:lpstr>
      <vt:lpstr>CAM_Access2</vt:lpstr>
      <vt:lpstr>CAM_ChkB_RemoteUpdate</vt:lpstr>
      <vt:lpstr>CAM_ChkBox_UpgradeUpdate</vt:lpstr>
      <vt:lpstr>CAM_ClientWithOrWithoutScanner</vt:lpstr>
      <vt:lpstr>CAM_ClientWithOrWithoutScanner_ChkBox</vt:lpstr>
      <vt:lpstr>CAM_IndexClientVersion</vt:lpstr>
      <vt:lpstr>CAM_IndexModelClient</vt:lpstr>
      <vt:lpstr>CAM_IndexModelSoftware</vt:lpstr>
      <vt:lpstr>CAM_IndexScanner</vt:lpstr>
      <vt:lpstr>CAM_IndexSoftware</vt:lpstr>
      <vt:lpstr>CAM_ManuelM1</vt:lpstr>
      <vt:lpstr>CAM_N_AlreadyHaveSoftware</vt:lpstr>
      <vt:lpstr>CAM_N_Software</vt:lpstr>
      <vt:lpstr>CAM_N_SoftwareOrUpg</vt:lpstr>
      <vt:lpstr>CAM_N_System</vt:lpstr>
      <vt:lpstr>CAM_N_UpgradeUpdate</vt:lpstr>
      <vt:lpstr>CAM_Option1</vt:lpstr>
      <vt:lpstr>CAM_Option2</vt:lpstr>
      <vt:lpstr>CAM_Option3</vt:lpstr>
      <vt:lpstr>CAM_Option4</vt:lpstr>
      <vt:lpstr>CAM_OptionTPU</vt:lpstr>
      <vt:lpstr>CAM_PosiOrBlueBG_Checkbox</vt:lpstr>
      <vt:lpstr>CAM_SoftwareFullNames</vt:lpstr>
      <vt:lpstr>CAM_SoftwareList</vt:lpstr>
      <vt:lpstr>CAM_SoftwarePriceList</vt:lpstr>
      <vt:lpstr>CAM_UpgradeNameShort</vt:lpstr>
      <vt:lpstr>CAM_UpgradeNModels</vt:lpstr>
      <vt:lpstr>CAM_YearClient</vt:lpstr>
      <vt:lpstr>CAM_YearMostRecent</vt:lpstr>
      <vt:lpstr>CELL_ChkB_RemoteUpdate</vt:lpstr>
      <vt:lpstr>CELL_ChkBox_UpgradeUpdate</vt:lpstr>
      <vt:lpstr>CELL_ClientWithOrWithoutScanner</vt:lpstr>
      <vt:lpstr>CELL_IndexClientVersion</vt:lpstr>
      <vt:lpstr>CELL_IndexModelClient</vt:lpstr>
      <vt:lpstr>CELL_IndexModelSoftware</vt:lpstr>
      <vt:lpstr>CELL_IndexSoftware</vt:lpstr>
      <vt:lpstr>CELL_N_AlreadyHaveSoftware</vt:lpstr>
      <vt:lpstr>CELL_N_Software</vt:lpstr>
      <vt:lpstr>CELL_N_SoftwareOrUpg</vt:lpstr>
      <vt:lpstr>CELL_N_System</vt:lpstr>
      <vt:lpstr>CELL_N_UpgradeUpdate</vt:lpstr>
      <vt:lpstr>CELL_OptionXL</vt:lpstr>
      <vt:lpstr>CELL_SoftwareFullNames</vt:lpstr>
      <vt:lpstr>CELL_SoftwareList</vt:lpstr>
      <vt:lpstr>CELL_SoftwarePriceList</vt:lpstr>
      <vt:lpstr>CELL_UpgradeNameShort</vt:lpstr>
      <vt:lpstr>CELL_UpgradeNModels</vt:lpstr>
      <vt:lpstr>CELL_YearClient</vt:lpstr>
      <vt:lpstr>CELL_YearMostRecent</vt:lpstr>
      <vt:lpstr>Checkbox_Descriptions</vt:lpstr>
      <vt:lpstr>Checkbox_DistChine</vt:lpstr>
      <vt:lpstr>Checkbox_EtiqShip1</vt:lpstr>
      <vt:lpstr>Checkbox_EtiqShip2</vt:lpstr>
      <vt:lpstr>Checkbox_EtiqShip3</vt:lpstr>
      <vt:lpstr>Checkbox_EtiqShip4</vt:lpstr>
      <vt:lpstr>Checkbox_EtiqShip5</vt:lpstr>
      <vt:lpstr>Checkbox_EtiqShip6</vt:lpstr>
      <vt:lpstr>Checkbox_Instructions</vt:lpstr>
      <vt:lpstr>Checkbox_SameAsBillTo</vt:lpstr>
      <vt:lpstr>Checkbox_SansScanner</vt:lpstr>
      <vt:lpstr>Checkbox_ScannerOption</vt:lpstr>
      <vt:lpstr>Checkbox_Tariffs2</vt:lpstr>
      <vt:lpstr>Checkbox_Updates</vt:lpstr>
      <vt:lpstr>Checkbox_WithScan</vt:lpstr>
      <vt:lpstr>ClientAExp12000</vt:lpstr>
      <vt:lpstr>CteUpdate</vt:lpstr>
      <vt:lpstr>Currency</vt:lpstr>
      <vt:lpstr>CustomerNumber</vt:lpstr>
      <vt:lpstr>DatePick_Day</vt:lpstr>
      <vt:lpstr>DatePick_Month</vt:lpstr>
      <vt:lpstr>DatePick_MonthNames</vt:lpstr>
      <vt:lpstr>DatePick_Year</vt:lpstr>
      <vt:lpstr>DatePick_YearIndex</vt:lpstr>
      <vt:lpstr>DatePick_YearNames</vt:lpstr>
      <vt:lpstr>DENDRO_Access1</vt:lpstr>
      <vt:lpstr>DENDRO_Access2</vt:lpstr>
      <vt:lpstr>DENDRO_ChkB_RemoteUpdate</vt:lpstr>
      <vt:lpstr>DENDRO_ChkBox_UpgradeUpdate</vt:lpstr>
      <vt:lpstr>DENDRO_ClefSN_P1</vt:lpstr>
      <vt:lpstr>DENDRO_ClientWithOrWithoutScanner</vt:lpstr>
      <vt:lpstr>DENDRO_ClientWithOrWithoutScanner_ChkBox</vt:lpstr>
      <vt:lpstr>DENDRO_IndexClientVersion</vt:lpstr>
      <vt:lpstr>DENDRO_IndexModelClient</vt:lpstr>
      <vt:lpstr>DENDRO_IndexModelSoftware</vt:lpstr>
      <vt:lpstr>DENDRO_IndexScanner</vt:lpstr>
      <vt:lpstr>DENDRO_IndexSoftware</vt:lpstr>
      <vt:lpstr>DENDRO_ManuelM1</vt:lpstr>
      <vt:lpstr>DENDRO_N_AlreadyHaveSoftware</vt:lpstr>
      <vt:lpstr>DENDRO_N_Software</vt:lpstr>
      <vt:lpstr>DENDRO_N_SoftwareOrUpg</vt:lpstr>
      <vt:lpstr>DENDRO_N_System</vt:lpstr>
      <vt:lpstr>DENDRO_N_UpgradeUpdate</vt:lpstr>
      <vt:lpstr>DENDRO_Option1</vt:lpstr>
      <vt:lpstr>DENDRO_Option2</vt:lpstr>
      <vt:lpstr>DENDRO_Option3</vt:lpstr>
      <vt:lpstr>DENDRO_Option4</vt:lpstr>
      <vt:lpstr>DENDRO_Option5</vt:lpstr>
      <vt:lpstr>DENDRO_OptionTPU</vt:lpstr>
      <vt:lpstr>DENDRO_OptionXL</vt:lpstr>
      <vt:lpstr>DENDRO_SoftwareFullNames</vt:lpstr>
      <vt:lpstr>DENDRO_SoftwareList</vt:lpstr>
      <vt:lpstr>DENDRO_SoftwarePriceList</vt:lpstr>
      <vt:lpstr>DENDRO_UpgradeNameShort</vt:lpstr>
      <vt:lpstr>DENDRO_UpgradeNModels</vt:lpstr>
      <vt:lpstr>DENDRO_VerifierPar1</vt:lpstr>
      <vt:lpstr>DENDRO_YearClient</vt:lpstr>
      <vt:lpstr>DENDRO_YearMostRecent</vt:lpstr>
      <vt:lpstr>Distributeurs_Rabais</vt:lpstr>
      <vt:lpstr>FileName_Invoice</vt:lpstr>
      <vt:lpstr>FileName_Quote</vt:lpstr>
      <vt:lpstr>FileNames_Dist</vt:lpstr>
      <vt:lpstr>FileNameWithNoScanners</vt:lpstr>
      <vt:lpstr>FOLIA_Access1</vt:lpstr>
      <vt:lpstr>FOLIA_Access2</vt:lpstr>
      <vt:lpstr>FOLIA_ChkB_RemoteUpdate</vt:lpstr>
      <vt:lpstr>FOLIA_ChkBox_UpgradeUpdate</vt:lpstr>
      <vt:lpstr>FOLIA_ClientWithOrWithoutScanner</vt:lpstr>
      <vt:lpstr>FOLIA_ClientWithOrWithoutScanner_ChkBox</vt:lpstr>
      <vt:lpstr>FOLIA_IndexClientVersion</vt:lpstr>
      <vt:lpstr>FOLIA_IndexModelClient</vt:lpstr>
      <vt:lpstr>FOLIA_IndexModelSoftware</vt:lpstr>
      <vt:lpstr>FOLIA_IndexScanner</vt:lpstr>
      <vt:lpstr>FOLIA_IndexSoftware</vt:lpstr>
      <vt:lpstr>FOLIA_ManuelM1</vt:lpstr>
      <vt:lpstr>FOLIA_N_AlreadyHaveSoftware</vt:lpstr>
      <vt:lpstr>FOLIA_N_Software</vt:lpstr>
      <vt:lpstr>FOLIA_N_SoftwareOrUpg</vt:lpstr>
      <vt:lpstr>FOLIA_N_System</vt:lpstr>
      <vt:lpstr>FOLIA_N_UpgradeUpdate</vt:lpstr>
      <vt:lpstr>FOLIA_Option1</vt:lpstr>
      <vt:lpstr>FOLIA_Option2</vt:lpstr>
      <vt:lpstr>FOLIA_Option3</vt:lpstr>
      <vt:lpstr>FOLIA_Option4</vt:lpstr>
      <vt:lpstr>FOLIA_OptionTPU</vt:lpstr>
      <vt:lpstr>FOLIA_OptionXL</vt:lpstr>
      <vt:lpstr>FOLIA_PosiOrBlueBG_Checkbox</vt:lpstr>
      <vt:lpstr>FOLIA_SoftwareFullNames</vt:lpstr>
      <vt:lpstr>FOLIA_SoftwareList</vt:lpstr>
      <vt:lpstr>FOLIA_SoftwarePriceList</vt:lpstr>
      <vt:lpstr>FOLIA_UpgradeNameShort</vt:lpstr>
      <vt:lpstr>FOLIA_UpgradeNModels</vt:lpstr>
      <vt:lpstr>FOLIA_YearClient</vt:lpstr>
      <vt:lpstr>FOLIA_YearMostRecent</vt:lpstr>
      <vt:lpstr>Francais</vt:lpstr>
      <vt:lpstr>HOME_Add1</vt:lpstr>
      <vt:lpstr>HOME_Add2</vt:lpstr>
      <vt:lpstr>HOME_City</vt:lpstr>
      <vt:lpstr>HOME_City_Ship</vt:lpstr>
      <vt:lpstr>HOME_Company</vt:lpstr>
      <vt:lpstr>HOME_Country</vt:lpstr>
      <vt:lpstr>HOME_Country_Ship</vt:lpstr>
      <vt:lpstr>HOME_Email</vt:lpstr>
      <vt:lpstr>HOME_Email_Ship</vt:lpstr>
      <vt:lpstr>HOME_FirstName</vt:lpstr>
      <vt:lpstr>HOME_LastName</vt:lpstr>
      <vt:lpstr>HOME_Province</vt:lpstr>
      <vt:lpstr>HOME_Province_Ship</vt:lpstr>
      <vt:lpstr>HOME_TaxID</vt:lpstr>
      <vt:lpstr>HOME_Tel</vt:lpstr>
      <vt:lpstr>HOME_Title</vt:lpstr>
      <vt:lpstr>HOME_Zip</vt:lpstr>
      <vt:lpstr>HOME_Zip_Ship</vt:lpstr>
      <vt:lpstr>IndexCurrency</vt:lpstr>
      <vt:lpstr>IndexGenerateDist</vt:lpstr>
      <vt:lpstr>IndexZone</vt:lpstr>
      <vt:lpstr>InternetDownload1</vt:lpstr>
      <vt:lpstr>InternetDownload2</vt:lpstr>
      <vt:lpstr>INV_ButtonGet</vt:lpstr>
      <vt:lpstr>INV_CellToWriteDiscount</vt:lpstr>
      <vt:lpstr>INV_CheckboxArea</vt:lpstr>
      <vt:lpstr>INV_Date</vt:lpstr>
      <vt:lpstr>INV_PaidInFull_Date</vt:lpstr>
      <vt:lpstr>INV_PaidInFull_Date2</vt:lpstr>
      <vt:lpstr>INV_PaidInFull_Methode</vt:lpstr>
      <vt:lpstr>INV_PaidInFull_Methode2</vt:lpstr>
      <vt:lpstr>INV_Range_ChkBoxInternetDownload</vt:lpstr>
      <vt:lpstr>INV_Range_ChkBoxNotForClient1</vt:lpstr>
      <vt:lpstr>INV_Range_ChkBoxNotForClient2</vt:lpstr>
      <vt:lpstr>INV_Range_ChkBoxNotForClient3</vt:lpstr>
      <vt:lpstr>INV_Shipped_Date</vt:lpstr>
      <vt:lpstr>INV_Shipped_Date2</vt:lpstr>
      <vt:lpstr>INV_Shipped_Method</vt:lpstr>
      <vt:lpstr>INV_Shipped_Method2</vt:lpstr>
      <vt:lpstr>CInv!INV_Shipping</vt:lpstr>
      <vt:lpstr>INV_Shipping</vt:lpstr>
      <vt:lpstr>INV_TrackingNumber</vt:lpstr>
      <vt:lpstr>INV_TrackingNumber2</vt:lpstr>
      <vt:lpstr>CInv!Invoice_Currency</vt:lpstr>
      <vt:lpstr>PList!Invoice_Currency</vt:lpstr>
      <vt:lpstr>Invoice_Currency</vt:lpstr>
      <vt:lpstr>LA_GenCalib_Drivers_Instr_Techsup</vt:lpstr>
      <vt:lpstr>LC_GenCalib_Drivers_Instr_Techsup</vt:lpstr>
      <vt:lpstr>N_LAScanners</vt:lpstr>
      <vt:lpstr>N_LCScanners</vt:lpstr>
      <vt:lpstr>N_OptionsTotal</vt:lpstr>
      <vt:lpstr>N_SoftwareTotal</vt:lpstr>
      <vt:lpstr>N_STDScanners</vt:lpstr>
      <vt:lpstr>N_SystemTotal</vt:lpstr>
      <vt:lpstr>N_Upd_Upg_Total</vt:lpstr>
      <vt:lpstr>NMaxTray</vt:lpstr>
      <vt:lpstr>OptionButton_Suites</vt:lpstr>
      <vt:lpstr>EtiqShip!Print_Area</vt:lpstr>
      <vt:lpstr>'Ship$'!Print_Area</vt:lpstr>
      <vt:lpstr>'Static $'!Print_Area</vt:lpstr>
      <vt:lpstr>PrixBlBgLA</vt:lpstr>
      <vt:lpstr>PrixBlBgLC</vt:lpstr>
      <vt:lpstr>PrixBlBgSTD</vt:lpstr>
      <vt:lpstr>PrixBlBgSTD_LA_LC</vt:lpstr>
      <vt:lpstr>PrixCoreHolder22</vt:lpstr>
      <vt:lpstr>PrixCoreHolder36</vt:lpstr>
      <vt:lpstr>PrixCorePosiLA</vt:lpstr>
      <vt:lpstr>PrixCorePosiSTD</vt:lpstr>
      <vt:lpstr>PrixGP27_Calib</vt:lpstr>
      <vt:lpstr>PrixGP27MiniTrepiedValise</vt:lpstr>
      <vt:lpstr>PrixGP27MiniTrepiedValise_Dist</vt:lpstr>
      <vt:lpstr>PrixLA</vt:lpstr>
      <vt:lpstr>PrixLA_Dist</vt:lpstr>
      <vt:lpstr>PrixLAavecTPU</vt:lpstr>
      <vt:lpstr>PrixLAavecTPU_Dist</vt:lpstr>
      <vt:lpstr>PrixLC</vt:lpstr>
      <vt:lpstr>PrixLC_Dist</vt:lpstr>
      <vt:lpstr>PrixRootPosiLA</vt:lpstr>
      <vt:lpstr>PrixRootPosiSTD</vt:lpstr>
      <vt:lpstr>PrixSLR24_Calib</vt:lpstr>
      <vt:lpstr>PrixSLR24_Lentille</vt:lpstr>
      <vt:lpstr>PrixSLR24MiniTrepiedValise</vt:lpstr>
      <vt:lpstr>PrixSLR24MiniTrepiedValise_Dist</vt:lpstr>
      <vt:lpstr>PrixSTD</vt:lpstr>
      <vt:lpstr>PrixSTD_Dist</vt:lpstr>
      <vt:lpstr>PrixTarget</vt:lpstr>
      <vt:lpstr>PrixTPU</vt:lpstr>
      <vt:lpstr>PrixTPU_Dist</vt:lpstr>
      <vt:lpstr>PrixTray10x15cm</vt:lpstr>
      <vt:lpstr>PrixTray15x20cm</vt:lpstr>
      <vt:lpstr>PrixTray20x25cm</vt:lpstr>
      <vt:lpstr>PrixTray20x30cm</vt:lpstr>
      <vt:lpstr>PrixTray25x35cm</vt:lpstr>
      <vt:lpstr>PrixTray30x40cm</vt:lpstr>
      <vt:lpstr>PrixTraySet2MedLarge</vt:lpstr>
      <vt:lpstr>PrixTraySet2Small</vt:lpstr>
      <vt:lpstr>PrixTraySet3MedLarge</vt:lpstr>
      <vt:lpstr>PrixTraySet3Small</vt:lpstr>
      <vt:lpstr>PrixTraySet5SmallMedLarge</vt:lpstr>
      <vt:lpstr>PrixUSBKey</vt:lpstr>
      <vt:lpstr>PROD_MostPopularScanner</vt:lpstr>
      <vt:lpstr>PROD_NumeroClient</vt:lpstr>
      <vt:lpstr>QUOTE_CellToWriteDiscount</vt:lpstr>
      <vt:lpstr>QUOTE_CheckboxArea</vt:lpstr>
      <vt:lpstr>Quote_Currency</vt:lpstr>
      <vt:lpstr>QUOTE_Date</vt:lpstr>
      <vt:lpstr>QUOTE_DetailedPrices</vt:lpstr>
      <vt:lpstr>QUOTE_DistDisableSameClient</vt:lpstr>
      <vt:lpstr>QUOTE_FilledByCustomer</vt:lpstr>
      <vt:lpstr>QUOTE_InternetDownload</vt:lpstr>
      <vt:lpstr>QUOTE_Range_ChkBoxInternetDownload</vt:lpstr>
      <vt:lpstr>QUOTE_Range_ChkBoxNotForClient1</vt:lpstr>
      <vt:lpstr>QUOTE_Range_ChkBoxNotForClient2</vt:lpstr>
      <vt:lpstr>QUOTE_Range_ChkBoxNotForClient3</vt:lpstr>
      <vt:lpstr>QUOTE_SameClient</vt:lpstr>
      <vt:lpstr>QUOTE_Shipping</vt:lpstr>
      <vt:lpstr>QUOTE_Split_SoftwareHardware</vt:lpstr>
      <vt:lpstr>QUOTE_TRFF_Description</vt:lpstr>
      <vt:lpstr>RebateCalibScanner</vt:lpstr>
      <vt:lpstr>RebateCalibScanopy</vt:lpstr>
      <vt:lpstr>RebateHardware</vt:lpstr>
      <vt:lpstr>RebateScanner</vt:lpstr>
      <vt:lpstr>RebateShipping_SplitAndInternet</vt:lpstr>
      <vt:lpstr>RebateSoftware</vt:lpstr>
      <vt:lpstr>RebateTPU</vt:lpstr>
      <vt:lpstr>RebateTrays</vt:lpstr>
      <vt:lpstr>RHIZO_Access1</vt:lpstr>
      <vt:lpstr>RHIZO_ChkB_RemoteUpdate</vt:lpstr>
      <vt:lpstr>RHIZO_ChkBox_UpgradeUpdate</vt:lpstr>
      <vt:lpstr>RHIZO_ClientWithOrWithoutScanner</vt:lpstr>
      <vt:lpstr>RHIZO_ClientWithOrWithoutScanner_ChkBox</vt:lpstr>
      <vt:lpstr>RHIZO_IndexClientVersion</vt:lpstr>
      <vt:lpstr>RHIZO_IndexModelClient</vt:lpstr>
      <vt:lpstr>RHIZO_IndexModelSoftware</vt:lpstr>
      <vt:lpstr>RHIZO_IndexScanner</vt:lpstr>
      <vt:lpstr>RHIZO_IndexSoftware</vt:lpstr>
      <vt:lpstr>RHIZO_ManuelM1</vt:lpstr>
      <vt:lpstr>RHIZO_N_AlreadyHaveSoftware</vt:lpstr>
      <vt:lpstr>RHIZO_N_Software</vt:lpstr>
      <vt:lpstr>RHIZO_N_SoftwareOrUpg</vt:lpstr>
      <vt:lpstr>RHIZO_N_System</vt:lpstr>
      <vt:lpstr>RHIZO_N_UpgradeUpdate</vt:lpstr>
      <vt:lpstr>RHIZO_Option1</vt:lpstr>
      <vt:lpstr>RHIZO_Option10</vt:lpstr>
      <vt:lpstr>RHIZO_Option11</vt:lpstr>
      <vt:lpstr>RHIZO_Option12</vt:lpstr>
      <vt:lpstr>RHIZO_Option2</vt:lpstr>
      <vt:lpstr>RHIZO_Option3</vt:lpstr>
      <vt:lpstr>RHIZO_Option4</vt:lpstr>
      <vt:lpstr>RHIZO_Option5</vt:lpstr>
      <vt:lpstr>RHIZO_Option6</vt:lpstr>
      <vt:lpstr>RHIZO_Option7</vt:lpstr>
      <vt:lpstr>RHIZO_Option8</vt:lpstr>
      <vt:lpstr>RHIZO_Option9</vt:lpstr>
      <vt:lpstr>RHIZO_OptionXL</vt:lpstr>
      <vt:lpstr>RHIZO_PosiOrBlueBG_Checkbox</vt:lpstr>
      <vt:lpstr>RHIZO_SoftwareFullNames</vt:lpstr>
      <vt:lpstr>RHIZO_SoftwareList</vt:lpstr>
      <vt:lpstr>RHIZO_SoftwarePriceList</vt:lpstr>
      <vt:lpstr>RHIZO_UpgradeNameShort</vt:lpstr>
      <vt:lpstr>RHIZO_UpgradeNModels</vt:lpstr>
      <vt:lpstr>RHIZO_YearClient</vt:lpstr>
      <vt:lpstr>RHIZO_YearMostRecent</vt:lpstr>
      <vt:lpstr>RHIZOTRON_ChkB_RemoteUpdate</vt:lpstr>
      <vt:lpstr>RHIZOTRON_ChkBox_UpgradeUpdate</vt:lpstr>
      <vt:lpstr>RHIZOTRON_ClientWithOrWithoutScanner</vt:lpstr>
      <vt:lpstr>RHIZOTRON_IndexClientVersion</vt:lpstr>
      <vt:lpstr>RHIZOTRON_IndexModelClient</vt:lpstr>
      <vt:lpstr>RHIZOTRON_IndexModelSoftware</vt:lpstr>
      <vt:lpstr>RHIZOTRON_IndexSoftware</vt:lpstr>
      <vt:lpstr>RHIZOTRON_N_AlreadyHaveSoftware</vt:lpstr>
      <vt:lpstr>RHIZOTRON_N_Software</vt:lpstr>
      <vt:lpstr>RHIZOTRON_N_SoftwareOrUpg</vt:lpstr>
      <vt:lpstr>RHIZOTRON_N_System</vt:lpstr>
      <vt:lpstr>RHIZOTRON_N_UpgradeUpdate</vt:lpstr>
      <vt:lpstr>RHIZOTRON_OptionXL</vt:lpstr>
      <vt:lpstr>RHIZOTRON_SoftwareFullNames</vt:lpstr>
      <vt:lpstr>RHIZOTRON_SoftwareList</vt:lpstr>
      <vt:lpstr>RHIZOTRON_SoftwarePriceList</vt:lpstr>
      <vt:lpstr>RHIZOTRON_UpgradeNameShort</vt:lpstr>
      <vt:lpstr>RHIZOTRON_YearClient</vt:lpstr>
      <vt:lpstr>RHIZOTRON_YearMostRecent</vt:lpstr>
      <vt:lpstr>ScannerHCode</vt:lpstr>
      <vt:lpstr>SCANOPY_CameraModel</vt:lpstr>
      <vt:lpstr>SCANOPY_CameraModel_Mini</vt:lpstr>
      <vt:lpstr>SCANOPY_ChkB_RemoteUpdate</vt:lpstr>
      <vt:lpstr>SCANOPY_ChkBox_UpgradeUpdate</vt:lpstr>
      <vt:lpstr>SCANOPY_ClientWithOrWithoutScanner</vt:lpstr>
      <vt:lpstr>SCANOPY_IndexClientVersion</vt:lpstr>
      <vt:lpstr>SCANOPY_IndexModelClient</vt:lpstr>
      <vt:lpstr>SCANOPY_IndexModelSoftware</vt:lpstr>
      <vt:lpstr>SCANOPY_IndexScanner</vt:lpstr>
      <vt:lpstr>SCANOPY_IndexSoftware</vt:lpstr>
      <vt:lpstr>SCANOPY_ManuelM1</vt:lpstr>
      <vt:lpstr>SCANOPY_N_AlreadyHaveSoftware</vt:lpstr>
      <vt:lpstr>SCANOPY_N_Software</vt:lpstr>
      <vt:lpstr>SCANOPY_N_SoftwareOrUpg</vt:lpstr>
      <vt:lpstr>SCANOPY_N_System</vt:lpstr>
      <vt:lpstr>SCANOPY_N_UpgradeUpdate</vt:lpstr>
      <vt:lpstr>SCANOPY_Option1</vt:lpstr>
      <vt:lpstr>SCANOPY_OptionXL</vt:lpstr>
      <vt:lpstr>SCANOPY_SoftwareFullNames</vt:lpstr>
      <vt:lpstr>SCANOPY_SoftwareList</vt:lpstr>
      <vt:lpstr>SCANOPY_SoftwarePriceList</vt:lpstr>
      <vt:lpstr>SCANOPY_UpgradeNameShort</vt:lpstr>
      <vt:lpstr>SCANOPY_UpgradeNModels</vt:lpstr>
      <vt:lpstr>SCANOPY_YearClient</vt:lpstr>
      <vt:lpstr>SCANOPY_YearMostRecent</vt:lpstr>
      <vt:lpstr>SEEDLE_Access1</vt:lpstr>
      <vt:lpstr>SEEDLE_ChkB_RemoteUpdate</vt:lpstr>
      <vt:lpstr>SEEDLE_ChkBox_UpgradeUpdate</vt:lpstr>
      <vt:lpstr>SEEDLE_ClientWithOrWithoutScanner</vt:lpstr>
      <vt:lpstr>SEEDLE_ClientWithOrWithoutScanner_ChkBox</vt:lpstr>
      <vt:lpstr>SEEDLE_IndexClientVersion</vt:lpstr>
      <vt:lpstr>SEEDLE_IndexModelClient</vt:lpstr>
      <vt:lpstr>SEEDLE_IndexModelSoftware</vt:lpstr>
      <vt:lpstr>SEEDLE_IndexScanner</vt:lpstr>
      <vt:lpstr>SEEDLE_IndexSoftware</vt:lpstr>
      <vt:lpstr>SEEDLE_ManuelM1</vt:lpstr>
      <vt:lpstr>SEEDLE_N_AlreadyHaveSoftware</vt:lpstr>
      <vt:lpstr>SEEDLE_N_Software</vt:lpstr>
      <vt:lpstr>SEEDLE_N_SoftwareOrUpg</vt:lpstr>
      <vt:lpstr>SEEDLE_N_System</vt:lpstr>
      <vt:lpstr>SEEDLE_N_UpgradeUpdate</vt:lpstr>
      <vt:lpstr>SEEDLE_Option1</vt:lpstr>
      <vt:lpstr>SEEDLE_Option10</vt:lpstr>
      <vt:lpstr>SEEDLE_Option11</vt:lpstr>
      <vt:lpstr>SEEDLE_Option12</vt:lpstr>
      <vt:lpstr>SEEDLE_Option2</vt:lpstr>
      <vt:lpstr>SEEDLE_Option3</vt:lpstr>
      <vt:lpstr>SEEDLE_Option4</vt:lpstr>
      <vt:lpstr>SEEDLE_Option5</vt:lpstr>
      <vt:lpstr>SEEDLE_Option6</vt:lpstr>
      <vt:lpstr>SEEDLE_Option7</vt:lpstr>
      <vt:lpstr>SEEDLE_Option8</vt:lpstr>
      <vt:lpstr>SEEDLE_Option9</vt:lpstr>
      <vt:lpstr>SEEDLE_OptionXL</vt:lpstr>
      <vt:lpstr>SEEDLE_PosiOrBlueBG_Checkbox</vt:lpstr>
      <vt:lpstr>SEEDLE_SoftwareFullNames</vt:lpstr>
      <vt:lpstr>SEEDLE_SoftwareList</vt:lpstr>
      <vt:lpstr>SEEDLE_SoftwarePriceList</vt:lpstr>
      <vt:lpstr>SEEDLE_UpgradeNameShort</vt:lpstr>
      <vt:lpstr>SEEDLE_UpgradeNModels</vt:lpstr>
      <vt:lpstr>SEEDLE_YearClient</vt:lpstr>
      <vt:lpstr>SEEDLE_YearMostRecent</vt:lpstr>
      <vt:lpstr>SHIP_CostSoftware</vt:lpstr>
      <vt:lpstr>SHIP_CostTotal</vt:lpstr>
      <vt:lpstr>SHIP_Country_Abrev</vt:lpstr>
      <vt:lpstr>SHIP_Country_Index</vt:lpstr>
      <vt:lpstr>SHIP_CrossShipping</vt:lpstr>
      <vt:lpstr>SHIP_CurrencyTaux</vt:lpstr>
      <vt:lpstr>SHIP_MultiplicateurPrix</vt:lpstr>
      <vt:lpstr>ShowStaticListPrice</vt:lpstr>
      <vt:lpstr>StaticPriceList_Names</vt:lpstr>
      <vt:lpstr>STD_GenCalib_Drivers_Instr_Techsup</vt:lpstr>
      <vt:lpstr>SUITE_IndexSoftware</vt:lpstr>
      <vt:lpstr>SUITE_SoftwareFullNames</vt:lpstr>
      <vt:lpstr>SuperUser</vt:lpstr>
      <vt:lpstr>Supp_Description</vt:lpstr>
      <vt:lpstr>TextTrayWarranty</vt:lpstr>
      <vt:lpstr>TotalPackages</vt:lpstr>
      <vt:lpstr>TotalWeight</vt:lpstr>
      <vt:lpstr>Tray1To3</vt:lpstr>
      <vt:lpstr>TRFF_Description</vt:lpstr>
      <vt:lpstr>UpdateMinPrice</vt:lpstr>
      <vt:lpstr>UpdateNAnnesMax</vt:lpstr>
      <vt:lpstr>UpdateResidualValueAfterAnneesMax</vt:lpstr>
      <vt:lpstr>VARS_Home_En</vt:lpstr>
      <vt:lpstr>VARS_Home_Fr</vt:lpstr>
      <vt:lpstr>VARS_Home_PasSameClient_En</vt:lpstr>
      <vt:lpstr>VARS_Home_PasSameClient_Fr</vt:lpstr>
      <vt:lpstr>VARS_PriceRise2026_ShipCost</vt:lpstr>
      <vt:lpstr>VARS_PriceRise2026_Soft</vt:lpstr>
      <vt:lpstr>VARS_PriceRise2026_Tray</vt:lpstr>
      <vt:lpstr>VARS_PriceRise2026_Updates</vt:lpstr>
      <vt:lpstr>VARS_Range_ChkBoxInternetDownload</vt:lpstr>
      <vt:lpstr>VARS_RowNumSelectedCountry</vt:lpstr>
      <vt:lpstr>WeightUSBKey</vt:lpstr>
      <vt:lpstr>YearOfList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Regent Guay</dc:creator>
  <cp:lastModifiedBy>Diane Garant</cp:lastModifiedBy>
  <cp:lastPrinted>2026-03-17T14:16:47Z</cp:lastPrinted>
  <dcterms:created xsi:type="dcterms:W3CDTF">2021-03-31T10:47:42Z</dcterms:created>
  <dcterms:modified xsi:type="dcterms:W3CDTF">2026-04-08T12:26:57Z</dcterms:modified>
</cp:coreProperties>
</file>